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hidePivotFieldList="1" defaultThemeVersion="166925"/>
  <mc:AlternateContent xmlns:mc="http://schemas.openxmlformats.org/markup-compatibility/2006">
    <mc:Choice Requires="x15">
      <x15ac:absPath xmlns:x15ac="http://schemas.microsoft.com/office/spreadsheetml/2010/11/ac" url="https://mineducaciongovco-my.sharepoint.com/personal/joroncancio_ext_mineducacion_gov_co/Documents/CALIDAD MINEDUCACIÓN/Calidad C&amp;C/Monitoreos Calidad MEN/"/>
    </mc:Choice>
  </mc:AlternateContent>
  <xr:revisionPtr revIDLastSave="103" documentId="13_ncr:1_{6C0A321D-2524-43BC-8687-FBD2D74F6625}" xr6:coauthVersionLast="47" xr6:coauthVersionMax="47" xr10:uidLastSave="{3C3D99AF-A7F6-4ADA-8FDE-FA6D2853A855}"/>
  <bookViews>
    <workbookView xWindow="-120" yWindow="-120" windowWidth="29040" windowHeight="15720" tabRatio="739" activeTab="1" xr2:uid="{00000000-000D-0000-FFFF-FFFF00000000}"/>
  </bookViews>
  <sheets>
    <sheet name="Lista" sheetId="2" r:id="rId1"/>
    <sheet name="Score BD" sheetId="1" r:id="rId2"/>
    <sheet name="Matrices Calidad " sheetId="29" r:id="rId3"/>
    <sheet name="ACM" sheetId="4" r:id="rId4"/>
    <sheet name="Retroalimentación" sheetId="30" r:id="rId5"/>
    <sheet name="Score Variable general" sheetId="14" r:id="rId6"/>
    <sheet name="Reporte general" sheetId="28" r:id="rId7"/>
    <sheet name="Reporte por asesor " sheetId="31" r:id="rId8"/>
  </sheets>
  <definedNames>
    <definedName name="_xlnm._FilterDatabase" localSheetId="0" hidden="1">Lista!$A$1:$G$20</definedName>
    <definedName name="_xlnm._FilterDatabase" localSheetId="4" hidden="1">Retroalimentación!$B$9:$G$10</definedName>
    <definedName name="_xlnm._FilterDatabase" localSheetId="1" hidden="1">'Score BD'!$AM$557:$AM$557</definedName>
    <definedName name="_xlnm._FilterDatabase" localSheetId="5" hidden="1">'Score Variable general'!$B$2:$E$23</definedName>
    <definedName name="_xlnm.Print_Area" localSheetId="3">ACM!$A$1:$AP$179</definedName>
    <definedName name="_xlnm.Print_Area" localSheetId="4">Retroalimentación!$A$1:$AJ$111</definedName>
    <definedName name="Asesores">Lista!$A$1:$A$24</definedName>
    <definedName name="Z_1F52B74C_E947_4346_B11B_5AF7F39DE361_.wvu.FilterData" localSheetId="4" hidden="1">Retroalimentación!$AF$2:$AI$6</definedName>
    <definedName name="Z_1F52B74C_E947_4346_B11B_5AF7F39DE361_.wvu.PrintArea" localSheetId="4" hidden="1">Retroalimentación!$B$2:$AI$111</definedName>
    <definedName name="Z_3B8BE840_BD57_4067_B5D7_9C12F17BEE76_.wvu.FilterData" localSheetId="4" hidden="1">Retroalimentación!$AF$2:$AI$6</definedName>
    <definedName name="Z_3B8BE840_BD57_4067_B5D7_9C12F17BEE76_.wvu.PrintArea" localSheetId="4" hidden="1">Retroalimentación!$B$2:$AI$111</definedName>
  </definedNames>
  <calcPr calcId="191029"/>
  <pivotCaches>
    <pivotCache cacheId="22"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2" i="1" l="1"/>
  <c r="B553" i="1"/>
  <c r="A553" i="1" s="1"/>
  <c r="G553" i="1"/>
  <c r="K553" i="1"/>
  <c r="Q553" i="1"/>
  <c r="V553" i="1"/>
  <c r="AC553" i="1"/>
  <c r="AF553" i="1"/>
  <c r="AG553" i="1" s="1"/>
  <c r="AH553" i="1"/>
  <c r="AI553" i="1"/>
  <c r="AJ553" i="1"/>
  <c r="AK553" i="1"/>
  <c r="AL553" i="1"/>
  <c r="AQ553" i="1"/>
  <c r="AS553" i="1"/>
  <c r="AU553" i="1"/>
  <c r="C553" i="1" l="1"/>
  <c r="AU325" i="1" l="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AU369" i="1" l="1"/>
  <c r="B128" i="1" l="1"/>
  <c r="A128" i="1" s="1"/>
  <c r="G128" i="1"/>
  <c r="K128" i="1"/>
  <c r="AQ128" i="1" s="1"/>
  <c r="Q128" i="1"/>
  <c r="V128" i="1"/>
  <c r="AC128" i="1"/>
  <c r="AF128" i="1"/>
  <c r="AH128" i="1"/>
  <c r="AI128" i="1"/>
  <c r="AJ128" i="1"/>
  <c r="AK128" i="1"/>
  <c r="AL128" i="1"/>
  <c r="AU128" i="1"/>
  <c r="B28" i="4"/>
  <c r="B22" i="4"/>
  <c r="AL18" i="4"/>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D19" i="14"/>
  <c r="C19" i="14"/>
  <c r="D18" i="14"/>
  <c r="C18" i="14"/>
  <c r="D16" i="14"/>
  <c r="C16" i="14"/>
  <c r="D17" i="14"/>
  <c r="C17" i="14"/>
  <c r="D15" i="14"/>
  <c r="C15" i="14"/>
  <c r="AS128" i="1" l="1"/>
  <c r="AG128" i="1"/>
  <c r="C128" i="1"/>
  <c r="E18" i="14"/>
  <c r="E17" i="14"/>
  <c r="E19" i="14"/>
  <c r="AF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3" i="1"/>
  <c r="AF544" i="1"/>
  <c r="AF545" i="1"/>
  <c r="AF546" i="1"/>
  <c r="AF547" i="1"/>
  <c r="AF548" i="1"/>
  <c r="AF549" i="1"/>
  <c r="AF550" i="1"/>
  <c r="AF551" i="1"/>
  <c r="AF552" i="1"/>
  <c r="AF3" i="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3" i="1"/>
  <c r="G6" i="1"/>
  <c r="D22" i="14"/>
  <c r="C22" i="14"/>
  <c r="D21" i="14"/>
  <c r="C21" i="14"/>
  <c r="D14" i="14"/>
  <c r="D13" i="14" s="1"/>
  <c r="C14" i="14"/>
  <c r="C13" i="14" s="1"/>
  <c r="D12" i="14"/>
  <c r="C12" i="14"/>
  <c r="D11" i="14"/>
  <c r="C11" i="14"/>
  <c r="D10" i="14"/>
  <c r="C10" i="14"/>
  <c r="D9" i="14"/>
  <c r="C9" i="14"/>
  <c r="D7" i="14"/>
  <c r="C7" i="14"/>
  <c r="D6" i="14"/>
  <c r="C6" i="14"/>
  <c r="D5" i="14"/>
  <c r="C5" i="14"/>
  <c r="D4" i="14"/>
  <c r="C4" i="14"/>
  <c r="A557" i="1"/>
  <c r="A556" i="1"/>
  <c r="A555" i="1"/>
  <c r="A554" i="1"/>
  <c r="AU552" i="1"/>
  <c r="AL552" i="1"/>
  <c r="AK552" i="1"/>
  <c r="AJ552" i="1"/>
  <c r="AI552" i="1"/>
  <c r="AH552" i="1"/>
  <c r="A552" i="1"/>
  <c r="AU551" i="1"/>
  <c r="AL551" i="1"/>
  <c r="AK551" i="1"/>
  <c r="AJ551" i="1"/>
  <c r="AI551" i="1"/>
  <c r="AH551" i="1"/>
  <c r="B551" i="1"/>
  <c r="A551" i="1" s="1"/>
  <c r="AU550" i="1"/>
  <c r="AL550" i="1"/>
  <c r="AK550" i="1"/>
  <c r="AJ550" i="1"/>
  <c r="AI550" i="1"/>
  <c r="AH550" i="1"/>
  <c r="B550" i="1"/>
  <c r="A550" i="1" s="1"/>
  <c r="AU549" i="1"/>
  <c r="AL549" i="1"/>
  <c r="AK549" i="1"/>
  <c r="AJ549" i="1"/>
  <c r="AI549" i="1"/>
  <c r="AH549" i="1"/>
  <c r="B549" i="1"/>
  <c r="A549" i="1" s="1"/>
  <c r="AU548" i="1"/>
  <c r="AL548" i="1"/>
  <c r="AK548" i="1"/>
  <c r="AJ548" i="1"/>
  <c r="AI548" i="1"/>
  <c r="AH548" i="1"/>
  <c r="B548" i="1"/>
  <c r="A548" i="1" s="1"/>
  <c r="AU547" i="1"/>
  <c r="AL547" i="1"/>
  <c r="AK547" i="1"/>
  <c r="AJ547" i="1"/>
  <c r="AI547" i="1"/>
  <c r="AH547" i="1"/>
  <c r="B547" i="1"/>
  <c r="A547" i="1" s="1"/>
  <c r="AU546" i="1"/>
  <c r="AL546" i="1"/>
  <c r="AK546" i="1"/>
  <c r="AJ546" i="1"/>
  <c r="AI546" i="1"/>
  <c r="AH546" i="1"/>
  <c r="B546" i="1"/>
  <c r="A546" i="1" s="1"/>
  <c r="AU545" i="1"/>
  <c r="AL545" i="1"/>
  <c r="AK545" i="1"/>
  <c r="AJ545" i="1"/>
  <c r="AI545" i="1"/>
  <c r="AH545" i="1"/>
  <c r="B545" i="1"/>
  <c r="A545" i="1" s="1"/>
  <c r="AU544" i="1"/>
  <c r="AL544" i="1"/>
  <c r="AK544" i="1"/>
  <c r="AJ544" i="1"/>
  <c r="AI544" i="1"/>
  <c r="AH544" i="1"/>
  <c r="B544" i="1"/>
  <c r="A544" i="1" s="1"/>
  <c r="AU543" i="1"/>
  <c r="AL543" i="1"/>
  <c r="AK543" i="1"/>
  <c r="AJ543" i="1"/>
  <c r="AI543" i="1"/>
  <c r="AH543" i="1"/>
  <c r="B543" i="1"/>
  <c r="A543" i="1" s="1"/>
  <c r="AU542" i="1"/>
  <c r="AL542" i="1"/>
  <c r="AK542" i="1"/>
  <c r="AJ542" i="1"/>
  <c r="AI542" i="1"/>
  <c r="AH542" i="1"/>
  <c r="B542" i="1"/>
  <c r="A542" i="1" s="1"/>
  <c r="AU541" i="1"/>
  <c r="AL541" i="1"/>
  <c r="AK541" i="1"/>
  <c r="AJ541" i="1"/>
  <c r="AI541" i="1"/>
  <c r="AH541" i="1"/>
  <c r="B541" i="1"/>
  <c r="A541" i="1" s="1"/>
  <c r="AU540" i="1"/>
  <c r="AL540" i="1"/>
  <c r="AK540" i="1"/>
  <c r="AJ540" i="1"/>
  <c r="AI540" i="1"/>
  <c r="AH540" i="1"/>
  <c r="B540" i="1"/>
  <c r="A540" i="1" s="1"/>
  <c r="AU539" i="1"/>
  <c r="AL539" i="1"/>
  <c r="AK539" i="1"/>
  <c r="AJ539" i="1"/>
  <c r="AI539" i="1"/>
  <c r="AH539" i="1"/>
  <c r="B539" i="1"/>
  <c r="A539" i="1" s="1"/>
  <c r="AU538" i="1"/>
  <c r="AL538" i="1"/>
  <c r="AK538" i="1"/>
  <c r="AJ538" i="1"/>
  <c r="AI538" i="1"/>
  <c r="AH538" i="1"/>
  <c r="B538" i="1"/>
  <c r="A538" i="1" s="1"/>
  <c r="AU537" i="1"/>
  <c r="AL537" i="1"/>
  <c r="AK537" i="1"/>
  <c r="AJ537" i="1"/>
  <c r="AI537" i="1"/>
  <c r="AH537" i="1"/>
  <c r="B537" i="1"/>
  <c r="A537" i="1" s="1"/>
  <c r="AU536" i="1"/>
  <c r="AL536" i="1"/>
  <c r="AK536" i="1"/>
  <c r="AJ536" i="1"/>
  <c r="AI536" i="1"/>
  <c r="AH536" i="1"/>
  <c r="B536" i="1"/>
  <c r="A536" i="1" s="1"/>
  <c r="AU535" i="1"/>
  <c r="AL535" i="1"/>
  <c r="AK535" i="1"/>
  <c r="AJ535" i="1"/>
  <c r="AI535" i="1"/>
  <c r="AH535" i="1"/>
  <c r="B535" i="1"/>
  <c r="A535" i="1" s="1"/>
  <c r="AU534" i="1"/>
  <c r="AL534" i="1"/>
  <c r="AK534" i="1"/>
  <c r="AJ534" i="1"/>
  <c r="AI534" i="1"/>
  <c r="AH534" i="1"/>
  <c r="B534" i="1"/>
  <c r="A534" i="1" s="1"/>
  <c r="AU533" i="1"/>
  <c r="AL533" i="1"/>
  <c r="AK533" i="1"/>
  <c r="AJ533" i="1"/>
  <c r="AI533" i="1"/>
  <c r="AH533" i="1"/>
  <c r="B533" i="1"/>
  <c r="A533" i="1" s="1"/>
  <c r="AU532" i="1"/>
  <c r="AL532" i="1"/>
  <c r="AK532" i="1"/>
  <c r="AJ532" i="1"/>
  <c r="AI532" i="1"/>
  <c r="AH532" i="1"/>
  <c r="B532" i="1"/>
  <c r="A532" i="1" s="1"/>
  <c r="AU531" i="1"/>
  <c r="AL531" i="1"/>
  <c r="AK531" i="1"/>
  <c r="AJ531" i="1"/>
  <c r="AI531" i="1"/>
  <c r="AH531" i="1"/>
  <c r="B531" i="1"/>
  <c r="A531" i="1" s="1"/>
  <c r="AU530" i="1"/>
  <c r="AL530" i="1"/>
  <c r="AK530" i="1"/>
  <c r="AJ530" i="1"/>
  <c r="AI530" i="1"/>
  <c r="AH530" i="1"/>
  <c r="B530" i="1"/>
  <c r="A530" i="1" s="1"/>
  <c r="AU529" i="1"/>
  <c r="AL529" i="1"/>
  <c r="AK529" i="1"/>
  <c r="AJ529" i="1"/>
  <c r="AI529" i="1"/>
  <c r="AH529" i="1"/>
  <c r="B529" i="1"/>
  <c r="A529" i="1" s="1"/>
  <c r="AU528" i="1"/>
  <c r="AL528" i="1"/>
  <c r="AK528" i="1"/>
  <c r="AJ528" i="1"/>
  <c r="AI528" i="1"/>
  <c r="AH528" i="1"/>
  <c r="B528" i="1"/>
  <c r="A528" i="1" s="1"/>
  <c r="AU527" i="1"/>
  <c r="AL527" i="1"/>
  <c r="AK527" i="1"/>
  <c r="AJ527" i="1"/>
  <c r="AI527" i="1"/>
  <c r="AH527" i="1"/>
  <c r="B527" i="1"/>
  <c r="A527" i="1" s="1"/>
  <c r="AU526" i="1"/>
  <c r="AL526" i="1"/>
  <c r="AK526" i="1"/>
  <c r="AJ526" i="1"/>
  <c r="AI526" i="1"/>
  <c r="AH526" i="1"/>
  <c r="B526" i="1"/>
  <c r="A526" i="1" s="1"/>
  <c r="AU525" i="1"/>
  <c r="AL525" i="1"/>
  <c r="AK525" i="1"/>
  <c r="AJ525" i="1"/>
  <c r="AI525" i="1"/>
  <c r="AH525" i="1"/>
  <c r="B525" i="1"/>
  <c r="A525" i="1" s="1"/>
  <c r="AU524" i="1"/>
  <c r="AL524" i="1"/>
  <c r="AK524" i="1"/>
  <c r="AJ524" i="1"/>
  <c r="AI524" i="1"/>
  <c r="AH524" i="1"/>
  <c r="B524" i="1"/>
  <c r="A524" i="1" s="1"/>
  <c r="AU523" i="1"/>
  <c r="AL523" i="1"/>
  <c r="AK523" i="1"/>
  <c r="AJ523" i="1"/>
  <c r="AI523" i="1"/>
  <c r="AH523" i="1"/>
  <c r="B523" i="1"/>
  <c r="A523" i="1" s="1"/>
  <c r="AU522" i="1"/>
  <c r="AL522" i="1"/>
  <c r="AK522" i="1"/>
  <c r="AJ522" i="1"/>
  <c r="AI522" i="1"/>
  <c r="AH522" i="1"/>
  <c r="B522" i="1"/>
  <c r="A522" i="1" s="1"/>
  <c r="AU521" i="1"/>
  <c r="AL521" i="1"/>
  <c r="AK521" i="1"/>
  <c r="AJ521" i="1"/>
  <c r="AI521" i="1"/>
  <c r="AH521" i="1"/>
  <c r="B521" i="1"/>
  <c r="A521" i="1" s="1"/>
  <c r="AU520" i="1"/>
  <c r="AL520" i="1"/>
  <c r="AK520" i="1"/>
  <c r="AJ520" i="1"/>
  <c r="AI520" i="1"/>
  <c r="AH520" i="1"/>
  <c r="B520" i="1"/>
  <c r="A520" i="1" s="1"/>
  <c r="AU519" i="1"/>
  <c r="AL519" i="1"/>
  <c r="AK519" i="1"/>
  <c r="AJ519" i="1"/>
  <c r="AI519" i="1"/>
  <c r="AH519" i="1"/>
  <c r="B519" i="1"/>
  <c r="A519" i="1" s="1"/>
  <c r="AU518" i="1"/>
  <c r="AL518" i="1"/>
  <c r="AK518" i="1"/>
  <c r="AJ518" i="1"/>
  <c r="AI518" i="1"/>
  <c r="AH518" i="1"/>
  <c r="B518" i="1"/>
  <c r="A518" i="1" s="1"/>
  <c r="AU517" i="1"/>
  <c r="AL517" i="1"/>
  <c r="AK517" i="1"/>
  <c r="AJ517" i="1"/>
  <c r="AI517" i="1"/>
  <c r="AH517" i="1"/>
  <c r="B517" i="1"/>
  <c r="A517" i="1" s="1"/>
  <c r="AU516" i="1"/>
  <c r="AL516" i="1"/>
  <c r="AK516" i="1"/>
  <c r="AJ516" i="1"/>
  <c r="AI516" i="1"/>
  <c r="AH516" i="1"/>
  <c r="B516" i="1"/>
  <c r="A516" i="1" s="1"/>
  <c r="AU515" i="1"/>
  <c r="AL515" i="1"/>
  <c r="AK515" i="1"/>
  <c r="AJ515" i="1"/>
  <c r="AI515" i="1"/>
  <c r="AH515" i="1"/>
  <c r="B515" i="1"/>
  <c r="A515" i="1" s="1"/>
  <c r="AU514" i="1"/>
  <c r="AL514" i="1"/>
  <c r="AK514" i="1"/>
  <c r="AJ514" i="1"/>
  <c r="AI514" i="1"/>
  <c r="AH514" i="1"/>
  <c r="B514" i="1"/>
  <c r="A514" i="1" s="1"/>
  <c r="AU513" i="1"/>
  <c r="AL513" i="1"/>
  <c r="AK513" i="1"/>
  <c r="AJ513" i="1"/>
  <c r="AI513" i="1"/>
  <c r="AH513" i="1"/>
  <c r="B513" i="1"/>
  <c r="A513" i="1" s="1"/>
  <c r="AU512" i="1"/>
  <c r="AL512" i="1"/>
  <c r="AK512" i="1"/>
  <c r="AJ512" i="1"/>
  <c r="AI512" i="1"/>
  <c r="AH512" i="1"/>
  <c r="B512" i="1"/>
  <c r="A512" i="1" s="1"/>
  <c r="AU511" i="1"/>
  <c r="AL511" i="1"/>
  <c r="AK511" i="1"/>
  <c r="AJ511" i="1"/>
  <c r="AI511" i="1"/>
  <c r="AH511" i="1"/>
  <c r="B511" i="1"/>
  <c r="A511" i="1" s="1"/>
  <c r="AU510" i="1"/>
  <c r="AL510" i="1"/>
  <c r="AK510" i="1"/>
  <c r="AJ510" i="1"/>
  <c r="AI510" i="1"/>
  <c r="AH510" i="1"/>
  <c r="B510" i="1"/>
  <c r="A510" i="1" s="1"/>
  <c r="AU509" i="1"/>
  <c r="AL509" i="1"/>
  <c r="AK509" i="1"/>
  <c r="AJ509" i="1"/>
  <c r="AI509" i="1"/>
  <c r="AH509" i="1"/>
  <c r="B509" i="1"/>
  <c r="A509" i="1" s="1"/>
  <c r="AU508" i="1"/>
  <c r="AL508" i="1"/>
  <c r="AK508" i="1"/>
  <c r="AJ508" i="1"/>
  <c r="AI508" i="1"/>
  <c r="AH508" i="1"/>
  <c r="B508" i="1"/>
  <c r="A508" i="1" s="1"/>
  <c r="AU507" i="1"/>
  <c r="AL507" i="1"/>
  <c r="AK507" i="1"/>
  <c r="AJ507" i="1"/>
  <c r="AI507" i="1"/>
  <c r="AH507" i="1"/>
  <c r="B507" i="1"/>
  <c r="A507" i="1" s="1"/>
  <c r="AU506" i="1"/>
  <c r="AL506" i="1"/>
  <c r="AK506" i="1"/>
  <c r="AJ506" i="1"/>
  <c r="AI506" i="1"/>
  <c r="AH506" i="1"/>
  <c r="B506" i="1"/>
  <c r="A506" i="1" s="1"/>
  <c r="AU505" i="1"/>
  <c r="AL505" i="1"/>
  <c r="AK505" i="1"/>
  <c r="AJ505" i="1"/>
  <c r="AI505" i="1"/>
  <c r="AH505" i="1"/>
  <c r="B505" i="1"/>
  <c r="A505" i="1" s="1"/>
  <c r="AU504" i="1"/>
  <c r="AL504" i="1"/>
  <c r="AK504" i="1"/>
  <c r="AJ504" i="1"/>
  <c r="AI504" i="1"/>
  <c r="AH504" i="1"/>
  <c r="B504" i="1"/>
  <c r="A504" i="1" s="1"/>
  <c r="AU503" i="1"/>
  <c r="AL503" i="1"/>
  <c r="AK503" i="1"/>
  <c r="AJ503" i="1"/>
  <c r="AI503" i="1"/>
  <c r="AH503" i="1"/>
  <c r="B503" i="1"/>
  <c r="A503" i="1" s="1"/>
  <c r="AU502" i="1"/>
  <c r="AL502" i="1"/>
  <c r="AK502" i="1"/>
  <c r="AJ502" i="1"/>
  <c r="AI502" i="1"/>
  <c r="AH502" i="1"/>
  <c r="B502" i="1"/>
  <c r="A502" i="1" s="1"/>
  <c r="AU501" i="1"/>
  <c r="AL501" i="1"/>
  <c r="AK501" i="1"/>
  <c r="AJ501" i="1"/>
  <c r="AI501" i="1"/>
  <c r="AH501" i="1"/>
  <c r="B501" i="1"/>
  <c r="A501" i="1" s="1"/>
  <c r="AU500" i="1"/>
  <c r="AL500" i="1"/>
  <c r="AK500" i="1"/>
  <c r="AJ500" i="1"/>
  <c r="AI500" i="1"/>
  <c r="AH500" i="1"/>
  <c r="B500" i="1"/>
  <c r="A500" i="1" s="1"/>
  <c r="AU499" i="1"/>
  <c r="AL499" i="1"/>
  <c r="AK499" i="1"/>
  <c r="AJ499" i="1"/>
  <c r="AI499" i="1"/>
  <c r="AH499" i="1"/>
  <c r="B499" i="1"/>
  <c r="A499" i="1" s="1"/>
  <c r="AU498" i="1"/>
  <c r="AL498" i="1"/>
  <c r="AK498" i="1"/>
  <c r="AJ498" i="1"/>
  <c r="AI498" i="1"/>
  <c r="AH498" i="1"/>
  <c r="B498" i="1"/>
  <c r="A498" i="1" s="1"/>
  <c r="AU497" i="1"/>
  <c r="AL497" i="1"/>
  <c r="AK497" i="1"/>
  <c r="AJ497" i="1"/>
  <c r="AI497" i="1"/>
  <c r="AH497" i="1"/>
  <c r="B497" i="1"/>
  <c r="A497" i="1" s="1"/>
  <c r="AU496" i="1"/>
  <c r="AL496" i="1"/>
  <c r="AK496" i="1"/>
  <c r="AJ496" i="1"/>
  <c r="AI496" i="1"/>
  <c r="AH496" i="1"/>
  <c r="B496" i="1"/>
  <c r="A496" i="1" s="1"/>
  <c r="AU495" i="1"/>
  <c r="AL495" i="1"/>
  <c r="AK495" i="1"/>
  <c r="AJ495" i="1"/>
  <c r="AI495" i="1"/>
  <c r="AH495" i="1"/>
  <c r="B495" i="1"/>
  <c r="A495" i="1" s="1"/>
  <c r="AU494" i="1"/>
  <c r="AL494" i="1"/>
  <c r="AK494" i="1"/>
  <c r="AJ494" i="1"/>
  <c r="AI494" i="1"/>
  <c r="AH494" i="1"/>
  <c r="B494" i="1"/>
  <c r="A494" i="1" s="1"/>
  <c r="AU493" i="1"/>
  <c r="AL493" i="1"/>
  <c r="AK493" i="1"/>
  <c r="AJ493" i="1"/>
  <c r="AI493" i="1"/>
  <c r="AH493" i="1"/>
  <c r="B493" i="1"/>
  <c r="A493" i="1" s="1"/>
  <c r="AU492" i="1"/>
  <c r="AL492" i="1"/>
  <c r="AK492" i="1"/>
  <c r="AJ492" i="1"/>
  <c r="AI492" i="1"/>
  <c r="AH492" i="1"/>
  <c r="B492" i="1"/>
  <c r="A492" i="1" s="1"/>
  <c r="AU491" i="1"/>
  <c r="AL491" i="1"/>
  <c r="AK491" i="1"/>
  <c r="AJ491" i="1"/>
  <c r="AI491" i="1"/>
  <c r="AH491" i="1"/>
  <c r="B491" i="1"/>
  <c r="A491" i="1" s="1"/>
  <c r="AU490" i="1"/>
  <c r="AL490" i="1"/>
  <c r="AK490" i="1"/>
  <c r="AJ490" i="1"/>
  <c r="AI490" i="1"/>
  <c r="AH490" i="1"/>
  <c r="B490" i="1"/>
  <c r="A490" i="1" s="1"/>
  <c r="AU489" i="1"/>
  <c r="AL489" i="1"/>
  <c r="AK489" i="1"/>
  <c r="AJ489" i="1"/>
  <c r="AI489" i="1"/>
  <c r="AH489" i="1"/>
  <c r="B489" i="1"/>
  <c r="A489" i="1" s="1"/>
  <c r="AU488" i="1"/>
  <c r="AL488" i="1"/>
  <c r="AK488" i="1"/>
  <c r="AJ488" i="1"/>
  <c r="AI488" i="1"/>
  <c r="AH488" i="1"/>
  <c r="B488" i="1"/>
  <c r="A488" i="1" s="1"/>
  <c r="AU487" i="1"/>
  <c r="AL487" i="1"/>
  <c r="AK487" i="1"/>
  <c r="AJ487" i="1"/>
  <c r="AI487" i="1"/>
  <c r="AH487" i="1"/>
  <c r="B487" i="1"/>
  <c r="A487" i="1" s="1"/>
  <c r="AU486" i="1"/>
  <c r="AL486" i="1"/>
  <c r="AK486" i="1"/>
  <c r="AJ486" i="1"/>
  <c r="AI486" i="1"/>
  <c r="AH486" i="1"/>
  <c r="B486" i="1"/>
  <c r="A486" i="1" s="1"/>
  <c r="AU485" i="1"/>
  <c r="AL485" i="1"/>
  <c r="AK485" i="1"/>
  <c r="AJ485" i="1"/>
  <c r="AI485" i="1"/>
  <c r="AH485" i="1"/>
  <c r="B485" i="1"/>
  <c r="A485" i="1" s="1"/>
  <c r="AU484" i="1"/>
  <c r="AL484" i="1"/>
  <c r="AK484" i="1"/>
  <c r="AJ484" i="1"/>
  <c r="AI484" i="1"/>
  <c r="AH484" i="1"/>
  <c r="B484" i="1"/>
  <c r="A484" i="1" s="1"/>
  <c r="AU483" i="1"/>
  <c r="AL483" i="1"/>
  <c r="AK483" i="1"/>
  <c r="AJ483" i="1"/>
  <c r="AI483" i="1"/>
  <c r="AH483" i="1"/>
  <c r="B483" i="1"/>
  <c r="A483" i="1" s="1"/>
  <c r="AU482" i="1"/>
  <c r="AL482" i="1"/>
  <c r="AK482" i="1"/>
  <c r="AJ482" i="1"/>
  <c r="AI482" i="1"/>
  <c r="AH482" i="1"/>
  <c r="B482" i="1"/>
  <c r="A482" i="1" s="1"/>
  <c r="AU481" i="1"/>
  <c r="AL481" i="1"/>
  <c r="AK481" i="1"/>
  <c r="AJ481" i="1"/>
  <c r="AI481" i="1"/>
  <c r="AH481" i="1"/>
  <c r="B481" i="1"/>
  <c r="A481" i="1" s="1"/>
  <c r="AU480" i="1"/>
  <c r="AL480" i="1"/>
  <c r="AK480" i="1"/>
  <c r="AJ480" i="1"/>
  <c r="AI480" i="1"/>
  <c r="AH480" i="1"/>
  <c r="B480" i="1"/>
  <c r="A480" i="1" s="1"/>
  <c r="AU479" i="1"/>
  <c r="AL479" i="1"/>
  <c r="AK479" i="1"/>
  <c r="AJ479" i="1"/>
  <c r="AI479" i="1"/>
  <c r="AH479" i="1"/>
  <c r="B479" i="1"/>
  <c r="A479" i="1" s="1"/>
  <c r="AU478" i="1"/>
  <c r="AL478" i="1"/>
  <c r="AK478" i="1"/>
  <c r="AJ478" i="1"/>
  <c r="AI478" i="1"/>
  <c r="AH478" i="1"/>
  <c r="B478" i="1"/>
  <c r="A478" i="1" s="1"/>
  <c r="AU477" i="1"/>
  <c r="AL477" i="1"/>
  <c r="AK477" i="1"/>
  <c r="AJ477" i="1"/>
  <c r="AI477" i="1"/>
  <c r="AH477" i="1"/>
  <c r="B477" i="1"/>
  <c r="A477" i="1" s="1"/>
  <c r="AU476" i="1"/>
  <c r="AL476" i="1"/>
  <c r="AK476" i="1"/>
  <c r="AJ476" i="1"/>
  <c r="AI476" i="1"/>
  <c r="AH476" i="1"/>
  <c r="B476" i="1"/>
  <c r="A476" i="1" s="1"/>
  <c r="AU475" i="1"/>
  <c r="AL475" i="1"/>
  <c r="AK475" i="1"/>
  <c r="AJ475" i="1"/>
  <c r="AI475" i="1"/>
  <c r="AH475" i="1"/>
  <c r="B475" i="1"/>
  <c r="A475" i="1" s="1"/>
  <c r="AU474" i="1"/>
  <c r="AL474" i="1"/>
  <c r="AK474" i="1"/>
  <c r="AJ474" i="1"/>
  <c r="AI474" i="1"/>
  <c r="AH474" i="1"/>
  <c r="B474" i="1"/>
  <c r="A474" i="1" s="1"/>
  <c r="AU473" i="1"/>
  <c r="AL473" i="1"/>
  <c r="AK473" i="1"/>
  <c r="AJ473" i="1"/>
  <c r="AI473" i="1"/>
  <c r="AH473" i="1"/>
  <c r="B473" i="1"/>
  <c r="A473" i="1" s="1"/>
  <c r="AU472" i="1"/>
  <c r="AL472" i="1"/>
  <c r="AK472" i="1"/>
  <c r="AJ472" i="1"/>
  <c r="AI472" i="1"/>
  <c r="AH472" i="1"/>
  <c r="B472" i="1"/>
  <c r="A472" i="1" s="1"/>
  <c r="AU471" i="1"/>
  <c r="AL471" i="1"/>
  <c r="AK471" i="1"/>
  <c r="AJ471" i="1"/>
  <c r="AI471" i="1"/>
  <c r="AH471" i="1"/>
  <c r="B471" i="1"/>
  <c r="A471" i="1" s="1"/>
  <c r="AU470" i="1"/>
  <c r="AL470" i="1"/>
  <c r="AK470" i="1"/>
  <c r="AJ470" i="1"/>
  <c r="AI470" i="1"/>
  <c r="AH470" i="1"/>
  <c r="B470" i="1"/>
  <c r="A470" i="1" s="1"/>
  <c r="AU469" i="1"/>
  <c r="AL469" i="1"/>
  <c r="AK469" i="1"/>
  <c r="AJ469" i="1"/>
  <c r="AI469" i="1"/>
  <c r="AH469" i="1"/>
  <c r="B469" i="1"/>
  <c r="A469" i="1" s="1"/>
  <c r="AU468" i="1"/>
  <c r="AL468" i="1"/>
  <c r="AK468" i="1"/>
  <c r="AJ468" i="1"/>
  <c r="AI468" i="1"/>
  <c r="AH468" i="1"/>
  <c r="B468" i="1"/>
  <c r="A468" i="1" s="1"/>
  <c r="AU467" i="1"/>
  <c r="AL467" i="1"/>
  <c r="AK467" i="1"/>
  <c r="AJ467" i="1"/>
  <c r="AI467" i="1"/>
  <c r="AH467" i="1"/>
  <c r="B467" i="1"/>
  <c r="A467" i="1" s="1"/>
  <c r="AU466" i="1"/>
  <c r="AL466" i="1"/>
  <c r="AK466" i="1"/>
  <c r="AJ466" i="1"/>
  <c r="AI466" i="1"/>
  <c r="AH466" i="1"/>
  <c r="B466" i="1"/>
  <c r="A466" i="1" s="1"/>
  <c r="AU465" i="1"/>
  <c r="AL465" i="1"/>
  <c r="AK465" i="1"/>
  <c r="AJ465" i="1"/>
  <c r="AI465" i="1"/>
  <c r="AH465" i="1"/>
  <c r="B465" i="1"/>
  <c r="A465" i="1" s="1"/>
  <c r="AU464" i="1"/>
  <c r="AL464" i="1"/>
  <c r="AK464" i="1"/>
  <c r="AJ464" i="1"/>
  <c r="AI464" i="1"/>
  <c r="AH464" i="1"/>
  <c r="B464" i="1"/>
  <c r="A464" i="1" s="1"/>
  <c r="AU463" i="1"/>
  <c r="AL463" i="1"/>
  <c r="AK463" i="1"/>
  <c r="AJ463" i="1"/>
  <c r="AI463" i="1"/>
  <c r="AH463" i="1"/>
  <c r="B463" i="1"/>
  <c r="A463" i="1" s="1"/>
  <c r="AU462" i="1"/>
  <c r="AL462" i="1"/>
  <c r="AK462" i="1"/>
  <c r="AJ462" i="1"/>
  <c r="AI462" i="1"/>
  <c r="AH462" i="1"/>
  <c r="B462" i="1"/>
  <c r="A462" i="1" s="1"/>
  <c r="AU461" i="1"/>
  <c r="AL461" i="1"/>
  <c r="AK461" i="1"/>
  <c r="AJ461" i="1"/>
  <c r="AI461" i="1"/>
  <c r="AH461" i="1"/>
  <c r="B461" i="1"/>
  <c r="A461" i="1" s="1"/>
  <c r="AU460" i="1"/>
  <c r="AL460" i="1"/>
  <c r="AK460" i="1"/>
  <c r="AJ460" i="1"/>
  <c r="AI460" i="1"/>
  <c r="AH460" i="1"/>
  <c r="B460" i="1"/>
  <c r="A460" i="1" s="1"/>
  <c r="AU459" i="1"/>
  <c r="AL459" i="1"/>
  <c r="AK459" i="1"/>
  <c r="AJ459" i="1"/>
  <c r="AI459" i="1"/>
  <c r="AH459" i="1"/>
  <c r="B459" i="1"/>
  <c r="A459" i="1" s="1"/>
  <c r="AU458" i="1"/>
  <c r="AL458" i="1"/>
  <c r="AK458" i="1"/>
  <c r="AJ458" i="1"/>
  <c r="AI458" i="1"/>
  <c r="AH458" i="1"/>
  <c r="B458" i="1"/>
  <c r="A458" i="1" s="1"/>
  <c r="AU457" i="1"/>
  <c r="AL457" i="1"/>
  <c r="AK457" i="1"/>
  <c r="AJ457" i="1"/>
  <c r="AI457" i="1"/>
  <c r="AH457" i="1"/>
  <c r="B457" i="1"/>
  <c r="A457" i="1" s="1"/>
  <c r="AU456" i="1"/>
  <c r="AL456" i="1"/>
  <c r="AK456" i="1"/>
  <c r="AJ456" i="1"/>
  <c r="AI456" i="1"/>
  <c r="AH456" i="1"/>
  <c r="B456" i="1"/>
  <c r="A456" i="1" s="1"/>
  <c r="AU455" i="1"/>
  <c r="AL455" i="1"/>
  <c r="AK455" i="1"/>
  <c r="AJ455" i="1"/>
  <c r="AI455" i="1"/>
  <c r="AH455" i="1"/>
  <c r="B455" i="1"/>
  <c r="A455" i="1" s="1"/>
  <c r="AU454" i="1"/>
  <c r="AL454" i="1"/>
  <c r="AK454" i="1"/>
  <c r="AJ454" i="1"/>
  <c r="AI454" i="1"/>
  <c r="AH454" i="1"/>
  <c r="B454" i="1"/>
  <c r="A454" i="1" s="1"/>
  <c r="AU453" i="1"/>
  <c r="AL453" i="1"/>
  <c r="AK453" i="1"/>
  <c r="AJ453" i="1"/>
  <c r="AI453" i="1"/>
  <c r="AH453" i="1"/>
  <c r="B453" i="1"/>
  <c r="A453" i="1" s="1"/>
  <c r="AU452" i="1"/>
  <c r="AL452" i="1"/>
  <c r="AK452" i="1"/>
  <c r="AJ452" i="1"/>
  <c r="AI452" i="1"/>
  <c r="AH452" i="1"/>
  <c r="B452" i="1"/>
  <c r="A452" i="1" s="1"/>
  <c r="AU451" i="1"/>
  <c r="AL451" i="1"/>
  <c r="AK451" i="1"/>
  <c r="AJ451" i="1"/>
  <c r="AI451" i="1"/>
  <c r="AH451" i="1"/>
  <c r="B451" i="1"/>
  <c r="A451" i="1" s="1"/>
  <c r="AU450" i="1"/>
  <c r="AL450" i="1"/>
  <c r="AK450" i="1"/>
  <c r="AJ450" i="1"/>
  <c r="AI450" i="1"/>
  <c r="AH450" i="1"/>
  <c r="B450" i="1"/>
  <c r="A450" i="1" s="1"/>
  <c r="AU449" i="1"/>
  <c r="AL449" i="1"/>
  <c r="AK449" i="1"/>
  <c r="AJ449" i="1"/>
  <c r="AI449" i="1"/>
  <c r="AH449" i="1"/>
  <c r="B449" i="1"/>
  <c r="A449" i="1" s="1"/>
  <c r="AU448" i="1"/>
  <c r="AL448" i="1"/>
  <c r="AK448" i="1"/>
  <c r="AJ448" i="1"/>
  <c r="AI448" i="1"/>
  <c r="AH448" i="1"/>
  <c r="B448" i="1"/>
  <c r="A448" i="1" s="1"/>
  <c r="AU447" i="1"/>
  <c r="AL447" i="1"/>
  <c r="AK447" i="1"/>
  <c r="AJ447" i="1"/>
  <c r="AI447" i="1"/>
  <c r="AH447" i="1"/>
  <c r="B447" i="1"/>
  <c r="A447" i="1" s="1"/>
  <c r="AU446" i="1"/>
  <c r="AL446" i="1"/>
  <c r="AK446" i="1"/>
  <c r="AJ446" i="1"/>
  <c r="AI446" i="1"/>
  <c r="AH446" i="1"/>
  <c r="B446" i="1"/>
  <c r="A446" i="1" s="1"/>
  <c r="AU445" i="1"/>
  <c r="AL445" i="1"/>
  <c r="AK445" i="1"/>
  <c r="AJ445" i="1"/>
  <c r="AI445" i="1"/>
  <c r="AH445" i="1"/>
  <c r="B445" i="1"/>
  <c r="A445" i="1" s="1"/>
  <c r="AU444" i="1"/>
  <c r="AL444" i="1"/>
  <c r="AK444" i="1"/>
  <c r="AJ444" i="1"/>
  <c r="AI444" i="1"/>
  <c r="AH444" i="1"/>
  <c r="B444" i="1"/>
  <c r="A444" i="1" s="1"/>
  <c r="AU443" i="1"/>
  <c r="AL443" i="1"/>
  <c r="AK443" i="1"/>
  <c r="AJ443" i="1"/>
  <c r="AI443" i="1"/>
  <c r="AH443" i="1"/>
  <c r="B443" i="1"/>
  <c r="A443" i="1" s="1"/>
  <c r="AU442" i="1"/>
  <c r="AL442" i="1"/>
  <c r="AK442" i="1"/>
  <c r="AJ442" i="1"/>
  <c r="AI442" i="1"/>
  <c r="AH442" i="1"/>
  <c r="B442" i="1"/>
  <c r="A442" i="1" s="1"/>
  <c r="AU441" i="1"/>
  <c r="AL441" i="1"/>
  <c r="AK441" i="1"/>
  <c r="AJ441" i="1"/>
  <c r="AI441" i="1"/>
  <c r="AH441" i="1"/>
  <c r="B441" i="1"/>
  <c r="A441" i="1" s="1"/>
  <c r="AU440" i="1"/>
  <c r="AL440" i="1"/>
  <c r="AK440" i="1"/>
  <c r="AJ440" i="1"/>
  <c r="AI440" i="1"/>
  <c r="AH440" i="1"/>
  <c r="B440" i="1"/>
  <c r="A440" i="1" s="1"/>
  <c r="AU439" i="1"/>
  <c r="AL439" i="1"/>
  <c r="AK439" i="1"/>
  <c r="AJ439" i="1"/>
  <c r="AI439" i="1"/>
  <c r="AH439" i="1"/>
  <c r="B439" i="1"/>
  <c r="A439" i="1" s="1"/>
  <c r="AU438" i="1"/>
  <c r="AL438" i="1"/>
  <c r="AK438" i="1"/>
  <c r="AJ438" i="1"/>
  <c r="AI438" i="1"/>
  <c r="AH438" i="1"/>
  <c r="B438" i="1"/>
  <c r="A438" i="1" s="1"/>
  <c r="AU437" i="1"/>
  <c r="AL437" i="1"/>
  <c r="AK437" i="1"/>
  <c r="AJ437" i="1"/>
  <c r="AI437" i="1"/>
  <c r="AH437" i="1"/>
  <c r="B437" i="1"/>
  <c r="A437" i="1" s="1"/>
  <c r="AU436" i="1"/>
  <c r="AL436" i="1"/>
  <c r="AK436" i="1"/>
  <c r="AJ436" i="1"/>
  <c r="AI436" i="1"/>
  <c r="AH436" i="1"/>
  <c r="B436" i="1"/>
  <c r="A436" i="1" s="1"/>
  <c r="AU435" i="1"/>
  <c r="AL435" i="1"/>
  <c r="AK435" i="1"/>
  <c r="AJ435" i="1"/>
  <c r="AI435" i="1"/>
  <c r="AH435" i="1"/>
  <c r="B435" i="1"/>
  <c r="A435" i="1" s="1"/>
  <c r="AU434" i="1"/>
  <c r="AL434" i="1"/>
  <c r="AK434" i="1"/>
  <c r="AJ434" i="1"/>
  <c r="AI434" i="1"/>
  <c r="AH434" i="1"/>
  <c r="B434" i="1"/>
  <c r="A434" i="1" s="1"/>
  <c r="AU433" i="1"/>
  <c r="AL433" i="1"/>
  <c r="AK433" i="1"/>
  <c r="AJ433" i="1"/>
  <c r="AI433" i="1"/>
  <c r="AH433" i="1"/>
  <c r="B433" i="1"/>
  <c r="A433" i="1" s="1"/>
  <c r="AU432" i="1"/>
  <c r="AL432" i="1"/>
  <c r="AK432" i="1"/>
  <c r="AJ432" i="1"/>
  <c r="AI432" i="1"/>
  <c r="AH432" i="1"/>
  <c r="B432" i="1"/>
  <c r="A432" i="1" s="1"/>
  <c r="AU431" i="1"/>
  <c r="AL431" i="1"/>
  <c r="AK431" i="1"/>
  <c r="AJ431" i="1"/>
  <c r="AI431" i="1"/>
  <c r="AH431" i="1"/>
  <c r="B431" i="1"/>
  <c r="A431" i="1" s="1"/>
  <c r="AU430" i="1"/>
  <c r="AL430" i="1"/>
  <c r="AK430" i="1"/>
  <c r="AJ430" i="1"/>
  <c r="AI430" i="1"/>
  <c r="AH430" i="1"/>
  <c r="B430" i="1"/>
  <c r="A430" i="1" s="1"/>
  <c r="AU429" i="1"/>
  <c r="AL429" i="1"/>
  <c r="AK429" i="1"/>
  <c r="AJ429" i="1"/>
  <c r="AI429" i="1"/>
  <c r="AH429" i="1"/>
  <c r="B429" i="1"/>
  <c r="A429" i="1" s="1"/>
  <c r="AU428" i="1"/>
  <c r="AL428" i="1"/>
  <c r="AK428" i="1"/>
  <c r="AJ428" i="1"/>
  <c r="AI428" i="1"/>
  <c r="AH428" i="1"/>
  <c r="B428" i="1"/>
  <c r="A428" i="1" s="1"/>
  <c r="AU427" i="1"/>
  <c r="AL427" i="1"/>
  <c r="AK427" i="1"/>
  <c r="AJ427" i="1"/>
  <c r="AI427" i="1"/>
  <c r="AH427" i="1"/>
  <c r="B427" i="1"/>
  <c r="A427" i="1" s="1"/>
  <c r="AU426" i="1"/>
  <c r="AL426" i="1"/>
  <c r="AK426" i="1"/>
  <c r="AJ426" i="1"/>
  <c r="AI426" i="1"/>
  <c r="AH426" i="1"/>
  <c r="B426" i="1"/>
  <c r="A426" i="1" s="1"/>
  <c r="AU425" i="1"/>
  <c r="AL425" i="1"/>
  <c r="AK425" i="1"/>
  <c r="AJ425" i="1"/>
  <c r="AI425" i="1"/>
  <c r="AH425" i="1"/>
  <c r="B425" i="1"/>
  <c r="A425" i="1" s="1"/>
  <c r="AU424" i="1"/>
  <c r="AL424" i="1"/>
  <c r="AK424" i="1"/>
  <c r="AJ424" i="1"/>
  <c r="AI424" i="1"/>
  <c r="AH424" i="1"/>
  <c r="B424" i="1"/>
  <c r="A424" i="1" s="1"/>
  <c r="AU423" i="1"/>
  <c r="AL423" i="1"/>
  <c r="AK423" i="1"/>
  <c r="AJ423" i="1"/>
  <c r="AI423" i="1"/>
  <c r="AH423" i="1"/>
  <c r="B423" i="1"/>
  <c r="A423" i="1" s="1"/>
  <c r="AU422" i="1"/>
  <c r="AL422" i="1"/>
  <c r="AK422" i="1"/>
  <c r="AJ422" i="1"/>
  <c r="AI422" i="1"/>
  <c r="AH422" i="1"/>
  <c r="B422" i="1"/>
  <c r="A422" i="1" s="1"/>
  <c r="AU421" i="1"/>
  <c r="AL421" i="1"/>
  <c r="AK421" i="1"/>
  <c r="AJ421" i="1"/>
  <c r="AI421" i="1"/>
  <c r="AH421" i="1"/>
  <c r="B421" i="1"/>
  <c r="A421" i="1" s="1"/>
  <c r="AU420" i="1"/>
  <c r="AL420" i="1"/>
  <c r="AK420" i="1"/>
  <c r="AJ420" i="1"/>
  <c r="AI420" i="1"/>
  <c r="AH420" i="1"/>
  <c r="B420" i="1"/>
  <c r="A420" i="1" s="1"/>
  <c r="AU419" i="1"/>
  <c r="AL419" i="1"/>
  <c r="AK419" i="1"/>
  <c r="AJ419" i="1"/>
  <c r="AI419" i="1"/>
  <c r="AH419" i="1"/>
  <c r="B419" i="1"/>
  <c r="A419" i="1" s="1"/>
  <c r="AU418" i="1"/>
  <c r="AL418" i="1"/>
  <c r="AK418" i="1"/>
  <c r="AJ418" i="1"/>
  <c r="AI418" i="1"/>
  <c r="AH418" i="1"/>
  <c r="B418" i="1"/>
  <c r="A418" i="1" s="1"/>
  <c r="AU417" i="1"/>
  <c r="AL417" i="1"/>
  <c r="AK417" i="1"/>
  <c r="AJ417" i="1"/>
  <c r="AI417" i="1"/>
  <c r="AH417" i="1"/>
  <c r="B417" i="1"/>
  <c r="A417" i="1" s="1"/>
  <c r="AU416" i="1"/>
  <c r="AL416" i="1"/>
  <c r="AK416" i="1"/>
  <c r="AJ416" i="1"/>
  <c r="AI416" i="1"/>
  <c r="AH416" i="1"/>
  <c r="B416" i="1"/>
  <c r="A416" i="1" s="1"/>
  <c r="AU415" i="1"/>
  <c r="AL415" i="1"/>
  <c r="AK415" i="1"/>
  <c r="AJ415" i="1"/>
  <c r="AI415" i="1"/>
  <c r="AH415" i="1"/>
  <c r="B415" i="1"/>
  <c r="A415" i="1" s="1"/>
  <c r="AU414" i="1"/>
  <c r="AL414" i="1"/>
  <c r="AK414" i="1"/>
  <c r="AJ414" i="1"/>
  <c r="AI414" i="1"/>
  <c r="AH414" i="1"/>
  <c r="B414" i="1"/>
  <c r="A414" i="1" s="1"/>
  <c r="AU413" i="1"/>
  <c r="AL413" i="1"/>
  <c r="AK413" i="1"/>
  <c r="AJ413" i="1"/>
  <c r="AI413" i="1"/>
  <c r="AH413" i="1"/>
  <c r="B413" i="1"/>
  <c r="A413" i="1" s="1"/>
  <c r="AU412" i="1"/>
  <c r="AL412" i="1"/>
  <c r="AK412" i="1"/>
  <c r="AJ412" i="1"/>
  <c r="AI412" i="1"/>
  <c r="AH412" i="1"/>
  <c r="B412" i="1"/>
  <c r="A412" i="1" s="1"/>
  <c r="AU411" i="1"/>
  <c r="AL411" i="1"/>
  <c r="AK411" i="1"/>
  <c r="AJ411" i="1"/>
  <c r="AI411" i="1"/>
  <c r="AH411" i="1"/>
  <c r="B411" i="1"/>
  <c r="A411" i="1" s="1"/>
  <c r="AU410" i="1"/>
  <c r="AL410" i="1"/>
  <c r="AK410" i="1"/>
  <c r="AJ410" i="1"/>
  <c r="AI410" i="1"/>
  <c r="AH410" i="1"/>
  <c r="B410" i="1"/>
  <c r="A410" i="1" s="1"/>
  <c r="AU409" i="1"/>
  <c r="AL409" i="1"/>
  <c r="AK409" i="1"/>
  <c r="AJ409" i="1"/>
  <c r="AI409" i="1"/>
  <c r="AH409" i="1"/>
  <c r="B409" i="1"/>
  <c r="A409" i="1" s="1"/>
  <c r="AU408" i="1"/>
  <c r="AL408" i="1"/>
  <c r="AK408" i="1"/>
  <c r="AJ408" i="1"/>
  <c r="AI408" i="1"/>
  <c r="AH408" i="1"/>
  <c r="B408" i="1"/>
  <c r="A408" i="1" s="1"/>
  <c r="AU407" i="1"/>
  <c r="AL407" i="1"/>
  <c r="AK407" i="1"/>
  <c r="AJ407" i="1"/>
  <c r="AI407" i="1"/>
  <c r="AH407" i="1"/>
  <c r="B407" i="1"/>
  <c r="A407" i="1" s="1"/>
  <c r="AU406" i="1"/>
  <c r="AL406" i="1"/>
  <c r="AK406" i="1"/>
  <c r="AJ406" i="1"/>
  <c r="AI406" i="1"/>
  <c r="AH406" i="1"/>
  <c r="B406" i="1"/>
  <c r="A406" i="1" s="1"/>
  <c r="AU405" i="1"/>
  <c r="AL405" i="1"/>
  <c r="AK405" i="1"/>
  <c r="AJ405" i="1"/>
  <c r="AI405" i="1"/>
  <c r="AH405" i="1"/>
  <c r="B405" i="1"/>
  <c r="A405" i="1" s="1"/>
  <c r="AU404" i="1"/>
  <c r="AL404" i="1"/>
  <c r="AK404" i="1"/>
  <c r="AJ404" i="1"/>
  <c r="AI404" i="1"/>
  <c r="AH404" i="1"/>
  <c r="B404" i="1"/>
  <c r="A404" i="1" s="1"/>
  <c r="AU403" i="1"/>
  <c r="AL403" i="1"/>
  <c r="AK403" i="1"/>
  <c r="AJ403" i="1"/>
  <c r="AI403" i="1"/>
  <c r="AH403" i="1"/>
  <c r="B403" i="1"/>
  <c r="A403" i="1" s="1"/>
  <c r="AU402" i="1"/>
  <c r="AL402" i="1"/>
  <c r="AK402" i="1"/>
  <c r="AJ402" i="1"/>
  <c r="AI402" i="1"/>
  <c r="AH402" i="1"/>
  <c r="B402" i="1"/>
  <c r="A402" i="1" s="1"/>
  <c r="AU401" i="1"/>
  <c r="AL401" i="1"/>
  <c r="AK401" i="1"/>
  <c r="AJ401" i="1"/>
  <c r="AI401" i="1"/>
  <c r="AH401" i="1"/>
  <c r="B401" i="1"/>
  <c r="A401" i="1" s="1"/>
  <c r="AU400" i="1"/>
  <c r="AL400" i="1"/>
  <c r="AK400" i="1"/>
  <c r="AJ400" i="1"/>
  <c r="AI400" i="1"/>
  <c r="AH400" i="1"/>
  <c r="B400" i="1"/>
  <c r="A400" i="1" s="1"/>
  <c r="AU399" i="1"/>
  <c r="AL399" i="1"/>
  <c r="AK399" i="1"/>
  <c r="AJ399" i="1"/>
  <c r="AI399" i="1"/>
  <c r="AH399" i="1"/>
  <c r="B399" i="1"/>
  <c r="A399" i="1" s="1"/>
  <c r="AU398" i="1"/>
  <c r="AL398" i="1"/>
  <c r="AK398" i="1"/>
  <c r="AJ398" i="1"/>
  <c r="AI398" i="1"/>
  <c r="AH398" i="1"/>
  <c r="B398" i="1"/>
  <c r="A398" i="1" s="1"/>
  <c r="AU397" i="1"/>
  <c r="AL397" i="1"/>
  <c r="AK397" i="1"/>
  <c r="AJ397" i="1"/>
  <c r="AI397" i="1"/>
  <c r="AH397" i="1"/>
  <c r="B397" i="1"/>
  <c r="A397" i="1" s="1"/>
  <c r="AU396" i="1"/>
  <c r="AL396" i="1"/>
  <c r="AK396" i="1"/>
  <c r="AJ396" i="1"/>
  <c r="AI396" i="1"/>
  <c r="AH396" i="1"/>
  <c r="B396" i="1"/>
  <c r="A396" i="1" s="1"/>
  <c r="AU395" i="1"/>
  <c r="AL395" i="1"/>
  <c r="AK395" i="1"/>
  <c r="AJ395" i="1"/>
  <c r="AI395" i="1"/>
  <c r="AH395" i="1"/>
  <c r="B395" i="1"/>
  <c r="A395" i="1" s="1"/>
  <c r="AU394" i="1"/>
  <c r="AL394" i="1"/>
  <c r="AK394" i="1"/>
  <c r="AJ394" i="1"/>
  <c r="AI394" i="1"/>
  <c r="AH394" i="1"/>
  <c r="B394" i="1"/>
  <c r="A394" i="1" s="1"/>
  <c r="AU393" i="1"/>
  <c r="AL393" i="1"/>
  <c r="AK393" i="1"/>
  <c r="AJ393" i="1"/>
  <c r="AI393" i="1"/>
  <c r="AH393" i="1"/>
  <c r="B393" i="1"/>
  <c r="A393" i="1" s="1"/>
  <c r="AU392" i="1"/>
  <c r="AL392" i="1"/>
  <c r="AK392" i="1"/>
  <c r="AJ392" i="1"/>
  <c r="AI392" i="1"/>
  <c r="AH392" i="1"/>
  <c r="B392" i="1"/>
  <c r="A392" i="1" s="1"/>
  <c r="AU391" i="1"/>
  <c r="AL391" i="1"/>
  <c r="AK391" i="1"/>
  <c r="AJ391" i="1"/>
  <c r="AI391" i="1"/>
  <c r="AH391" i="1"/>
  <c r="B391" i="1"/>
  <c r="A391" i="1" s="1"/>
  <c r="AU390" i="1"/>
  <c r="AL390" i="1"/>
  <c r="AK390" i="1"/>
  <c r="AJ390" i="1"/>
  <c r="AI390" i="1"/>
  <c r="AH390" i="1"/>
  <c r="B390" i="1"/>
  <c r="A390" i="1" s="1"/>
  <c r="AU389" i="1"/>
  <c r="AL389" i="1"/>
  <c r="AK389" i="1"/>
  <c r="AJ389" i="1"/>
  <c r="AI389" i="1"/>
  <c r="AH389" i="1"/>
  <c r="B389" i="1"/>
  <c r="A389" i="1" s="1"/>
  <c r="AU388" i="1"/>
  <c r="AL388" i="1"/>
  <c r="AK388" i="1"/>
  <c r="AJ388" i="1"/>
  <c r="AI388" i="1"/>
  <c r="AH388" i="1"/>
  <c r="B388" i="1"/>
  <c r="A388" i="1" s="1"/>
  <c r="AU387" i="1"/>
  <c r="AL387" i="1"/>
  <c r="AK387" i="1"/>
  <c r="AJ387" i="1"/>
  <c r="AI387" i="1"/>
  <c r="AH387" i="1"/>
  <c r="B387" i="1"/>
  <c r="A387" i="1" s="1"/>
  <c r="AU386" i="1"/>
  <c r="AL386" i="1"/>
  <c r="AK386" i="1"/>
  <c r="AJ386" i="1"/>
  <c r="AI386" i="1"/>
  <c r="AH386" i="1"/>
  <c r="B386" i="1"/>
  <c r="A386" i="1" s="1"/>
  <c r="AU385" i="1"/>
  <c r="AL385" i="1"/>
  <c r="AK385" i="1"/>
  <c r="AJ385" i="1"/>
  <c r="AI385" i="1"/>
  <c r="AH385" i="1"/>
  <c r="B385" i="1"/>
  <c r="A385" i="1" s="1"/>
  <c r="AU384" i="1"/>
  <c r="AL384" i="1"/>
  <c r="AK384" i="1"/>
  <c r="AJ384" i="1"/>
  <c r="AI384" i="1"/>
  <c r="AH384" i="1"/>
  <c r="B384" i="1"/>
  <c r="A384" i="1" s="1"/>
  <c r="AU383" i="1"/>
  <c r="AL383" i="1"/>
  <c r="AK383" i="1"/>
  <c r="AJ383" i="1"/>
  <c r="AI383" i="1"/>
  <c r="AH383" i="1"/>
  <c r="B383" i="1"/>
  <c r="A383" i="1" s="1"/>
  <c r="AU382" i="1"/>
  <c r="AL382" i="1"/>
  <c r="AK382" i="1"/>
  <c r="AJ382" i="1"/>
  <c r="AI382" i="1"/>
  <c r="AH382" i="1"/>
  <c r="B382" i="1"/>
  <c r="A382" i="1" s="1"/>
  <c r="AU381" i="1"/>
  <c r="AL381" i="1"/>
  <c r="AK381" i="1"/>
  <c r="AJ381" i="1"/>
  <c r="AI381" i="1"/>
  <c r="AH381" i="1"/>
  <c r="B381" i="1"/>
  <c r="A381" i="1" s="1"/>
  <c r="AU380" i="1"/>
  <c r="AL380" i="1"/>
  <c r="AK380" i="1"/>
  <c r="AJ380" i="1"/>
  <c r="AI380" i="1"/>
  <c r="AH380" i="1"/>
  <c r="B380" i="1"/>
  <c r="A380" i="1" s="1"/>
  <c r="AU379" i="1"/>
  <c r="AL379" i="1"/>
  <c r="AK379" i="1"/>
  <c r="AJ379" i="1"/>
  <c r="AI379" i="1"/>
  <c r="AH379" i="1"/>
  <c r="B379" i="1"/>
  <c r="A379" i="1" s="1"/>
  <c r="AU378" i="1"/>
  <c r="AL378" i="1"/>
  <c r="AK378" i="1"/>
  <c r="AJ378" i="1"/>
  <c r="AI378" i="1"/>
  <c r="AH378" i="1"/>
  <c r="B378" i="1"/>
  <c r="A378" i="1" s="1"/>
  <c r="AU377" i="1"/>
  <c r="AL377" i="1"/>
  <c r="AK377" i="1"/>
  <c r="AJ377" i="1"/>
  <c r="AI377" i="1"/>
  <c r="AH377" i="1"/>
  <c r="B377" i="1"/>
  <c r="A377" i="1" s="1"/>
  <c r="AU376" i="1"/>
  <c r="AL376" i="1"/>
  <c r="AK376" i="1"/>
  <c r="AJ376" i="1"/>
  <c r="AI376" i="1"/>
  <c r="AH376" i="1"/>
  <c r="B376" i="1"/>
  <c r="A376" i="1" s="1"/>
  <c r="AU375" i="1"/>
  <c r="AL375" i="1"/>
  <c r="AK375" i="1"/>
  <c r="AJ375" i="1"/>
  <c r="AI375" i="1"/>
  <c r="AH375" i="1"/>
  <c r="B375" i="1"/>
  <c r="A375" i="1" s="1"/>
  <c r="AU374" i="1"/>
  <c r="AL374" i="1"/>
  <c r="AK374" i="1"/>
  <c r="AJ374" i="1"/>
  <c r="AI374" i="1"/>
  <c r="AH374" i="1"/>
  <c r="B374" i="1"/>
  <c r="A374" i="1" s="1"/>
  <c r="AU373" i="1"/>
  <c r="AL373" i="1"/>
  <c r="AK373" i="1"/>
  <c r="AJ373" i="1"/>
  <c r="AI373" i="1"/>
  <c r="AH373" i="1"/>
  <c r="B373" i="1"/>
  <c r="A373" i="1" s="1"/>
  <c r="AU372" i="1"/>
  <c r="AL372" i="1"/>
  <c r="AK372" i="1"/>
  <c r="AJ372" i="1"/>
  <c r="AI372" i="1"/>
  <c r="AH372" i="1"/>
  <c r="B372" i="1"/>
  <c r="A372" i="1" s="1"/>
  <c r="AU371" i="1"/>
  <c r="AL371" i="1"/>
  <c r="AK371" i="1"/>
  <c r="AJ371" i="1"/>
  <c r="AI371" i="1"/>
  <c r="AH371" i="1"/>
  <c r="B371" i="1"/>
  <c r="A371" i="1" s="1"/>
  <c r="AU370" i="1"/>
  <c r="AL370" i="1"/>
  <c r="AK370" i="1"/>
  <c r="AJ370" i="1"/>
  <c r="AI370" i="1"/>
  <c r="AH370" i="1"/>
  <c r="B370" i="1"/>
  <c r="A370" i="1" s="1"/>
  <c r="AL369" i="1"/>
  <c r="AK369" i="1"/>
  <c r="AJ369" i="1"/>
  <c r="AI369" i="1"/>
  <c r="AH369" i="1"/>
  <c r="B369" i="1"/>
  <c r="A369" i="1" s="1"/>
  <c r="AU368" i="1"/>
  <c r="AL368" i="1"/>
  <c r="AK368" i="1"/>
  <c r="AJ368" i="1"/>
  <c r="AI368" i="1"/>
  <c r="AH368" i="1"/>
  <c r="B368" i="1"/>
  <c r="A368" i="1" s="1"/>
  <c r="AU367" i="1"/>
  <c r="AL367" i="1"/>
  <c r="AK367" i="1"/>
  <c r="AJ367" i="1"/>
  <c r="AI367" i="1"/>
  <c r="AH367" i="1"/>
  <c r="B367" i="1"/>
  <c r="A367" i="1" s="1"/>
  <c r="AU366" i="1"/>
  <c r="AL366" i="1"/>
  <c r="AK366" i="1"/>
  <c r="AJ366" i="1"/>
  <c r="AI366" i="1"/>
  <c r="AH366" i="1"/>
  <c r="B366" i="1"/>
  <c r="A366" i="1" s="1"/>
  <c r="AU365" i="1"/>
  <c r="AL365" i="1"/>
  <c r="AK365" i="1"/>
  <c r="AJ365" i="1"/>
  <c r="AI365" i="1"/>
  <c r="AH365" i="1"/>
  <c r="B365" i="1"/>
  <c r="A365" i="1" s="1"/>
  <c r="AU364" i="1"/>
  <c r="AL364" i="1"/>
  <c r="AK364" i="1"/>
  <c r="AJ364" i="1"/>
  <c r="AI364" i="1"/>
  <c r="AH364" i="1"/>
  <c r="B364" i="1"/>
  <c r="A364" i="1" s="1"/>
  <c r="AU363" i="1"/>
  <c r="AL363" i="1"/>
  <c r="AK363" i="1"/>
  <c r="AJ363" i="1"/>
  <c r="AI363" i="1"/>
  <c r="AH363" i="1"/>
  <c r="B363" i="1"/>
  <c r="A363" i="1" s="1"/>
  <c r="AU362" i="1"/>
  <c r="AL362" i="1"/>
  <c r="AK362" i="1"/>
  <c r="AJ362" i="1"/>
  <c r="AI362" i="1"/>
  <c r="AH362" i="1"/>
  <c r="B362" i="1"/>
  <c r="A362" i="1" s="1"/>
  <c r="AU361" i="1"/>
  <c r="AL361" i="1"/>
  <c r="AK361" i="1"/>
  <c r="AJ361" i="1"/>
  <c r="AI361" i="1"/>
  <c r="AH361" i="1"/>
  <c r="B361" i="1"/>
  <c r="A361" i="1" s="1"/>
  <c r="AU360" i="1"/>
  <c r="AL360" i="1"/>
  <c r="AK360" i="1"/>
  <c r="AJ360" i="1"/>
  <c r="AI360" i="1"/>
  <c r="AH360" i="1"/>
  <c r="B360" i="1"/>
  <c r="A360" i="1" s="1"/>
  <c r="AU359" i="1"/>
  <c r="AL359" i="1"/>
  <c r="AK359" i="1"/>
  <c r="AJ359" i="1"/>
  <c r="AI359" i="1"/>
  <c r="AH359" i="1"/>
  <c r="B359" i="1"/>
  <c r="A359" i="1" s="1"/>
  <c r="AU358" i="1"/>
  <c r="AL358" i="1"/>
  <c r="AK358" i="1"/>
  <c r="AJ358" i="1"/>
  <c r="AI358" i="1"/>
  <c r="AH358" i="1"/>
  <c r="B358" i="1"/>
  <c r="A358" i="1" s="1"/>
  <c r="AU357" i="1"/>
  <c r="AL357" i="1"/>
  <c r="AK357" i="1"/>
  <c r="AJ357" i="1"/>
  <c r="AI357" i="1"/>
  <c r="AH357" i="1"/>
  <c r="B357" i="1"/>
  <c r="A357" i="1" s="1"/>
  <c r="AU356" i="1"/>
  <c r="AL356" i="1"/>
  <c r="AK356" i="1"/>
  <c r="AJ356" i="1"/>
  <c r="AI356" i="1"/>
  <c r="AH356" i="1"/>
  <c r="B356" i="1"/>
  <c r="A356" i="1" s="1"/>
  <c r="AU355" i="1"/>
  <c r="AL355" i="1"/>
  <c r="AK355" i="1"/>
  <c r="AJ355" i="1"/>
  <c r="AI355" i="1"/>
  <c r="AH355" i="1"/>
  <c r="B355" i="1"/>
  <c r="A355" i="1" s="1"/>
  <c r="AU354" i="1"/>
  <c r="AL354" i="1"/>
  <c r="AK354" i="1"/>
  <c r="AJ354" i="1"/>
  <c r="AI354" i="1"/>
  <c r="AH354" i="1"/>
  <c r="B354" i="1"/>
  <c r="A354" i="1" s="1"/>
  <c r="AU353" i="1"/>
  <c r="AL353" i="1"/>
  <c r="AK353" i="1"/>
  <c r="AJ353" i="1"/>
  <c r="AI353" i="1"/>
  <c r="AH353" i="1"/>
  <c r="B353" i="1"/>
  <c r="A353" i="1" s="1"/>
  <c r="AU352" i="1"/>
  <c r="AL352" i="1"/>
  <c r="AK352" i="1"/>
  <c r="AJ352" i="1"/>
  <c r="AI352" i="1"/>
  <c r="AH352" i="1"/>
  <c r="B352" i="1"/>
  <c r="A352" i="1" s="1"/>
  <c r="AU351" i="1"/>
  <c r="AL351" i="1"/>
  <c r="AK351" i="1"/>
  <c r="AJ351" i="1"/>
  <c r="AI351" i="1"/>
  <c r="AH351" i="1"/>
  <c r="B351" i="1"/>
  <c r="A351" i="1" s="1"/>
  <c r="AU350" i="1"/>
  <c r="AL350" i="1"/>
  <c r="AK350" i="1"/>
  <c r="AJ350" i="1"/>
  <c r="AI350" i="1"/>
  <c r="AH350" i="1"/>
  <c r="B350" i="1"/>
  <c r="A350" i="1" s="1"/>
  <c r="AU349" i="1"/>
  <c r="AL349" i="1"/>
  <c r="AK349" i="1"/>
  <c r="AJ349" i="1"/>
  <c r="AI349" i="1"/>
  <c r="AH349" i="1"/>
  <c r="B349" i="1"/>
  <c r="A349" i="1" s="1"/>
  <c r="AU348" i="1"/>
  <c r="AL348" i="1"/>
  <c r="AK348" i="1"/>
  <c r="AJ348" i="1"/>
  <c r="AI348" i="1"/>
  <c r="AH348" i="1"/>
  <c r="B348" i="1"/>
  <c r="A348" i="1" s="1"/>
  <c r="AU347" i="1"/>
  <c r="AL347" i="1"/>
  <c r="AK347" i="1"/>
  <c r="AJ347" i="1"/>
  <c r="AI347" i="1"/>
  <c r="AH347" i="1"/>
  <c r="B347" i="1"/>
  <c r="A347" i="1" s="1"/>
  <c r="AU346" i="1"/>
  <c r="AL346" i="1"/>
  <c r="AK346" i="1"/>
  <c r="AJ346" i="1"/>
  <c r="AI346" i="1"/>
  <c r="AH346" i="1"/>
  <c r="B346" i="1"/>
  <c r="A346" i="1" s="1"/>
  <c r="AU345" i="1"/>
  <c r="AL345" i="1"/>
  <c r="AK345" i="1"/>
  <c r="AJ345" i="1"/>
  <c r="AI345" i="1"/>
  <c r="AH345" i="1"/>
  <c r="B345" i="1"/>
  <c r="A345" i="1" s="1"/>
  <c r="AU344" i="1"/>
  <c r="AL344" i="1"/>
  <c r="AK344" i="1"/>
  <c r="AJ344" i="1"/>
  <c r="AI344" i="1"/>
  <c r="AH344" i="1"/>
  <c r="B344" i="1"/>
  <c r="A344" i="1" s="1"/>
  <c r="AU343" i="1"/>
  <c r="AL343" i="1"/>
  <c r="AK343" i="1"/>
  <c r="AJ343" i="1"/>
  <c r="AI343" i="1"/>
  <c r="AH343" i="1"/>
  <c r="B343" i="1"/>
  <c r="A343" i="1" s="1"/>
  <c r="AU342" i="1"/>
  <c r="AL342" i="1"/>
  <c r="AK342" i="1"/>
  <c r="AJ342" i="1"/>
  <c r="AI342" i="1"/>
  <c r="AH342" i="1"/>
  <c r="B342" i="1"/>
  <c r="A342" i="1" s="1"/>
  <c r="AU341" i="1"/>
  <c r="AL341" i="1"/>
  <c r="AK341" i="1"/>
  <c r="AJ341" i="1"/>
  <c r="AI341" i="1"/>
  <c r="AH341" i="1"/>
  <c r="B341" i="1"/>
  <c r="A341" i="1" s="1"/>
  <c r="AU340" i="1"/>
  <c r="AL340" i="1"/>
  <c r="AK340" i="1"/>
  <c r="AJ340" i="1"/>
  <c r="AI340" i="1"/>
  <c r="AH340" i="1"/>
  <c r="B340" i="1"/>
  <c r="A340" i="1" s="1"/>
  <c r="AU339" i="1"/>
  <c r="AL339" i="1"/>
  <c r="AK339" i="1"/>
  <c r="AJ339" i="1"/>
  <c r="AI339" i="1"/>
  <c r="AH339" i="1"/>
  <c r="B339" i="1"/>
  <c r="A339" i="1" s="1"/>
  <c r="AU338" i="1"/>
  <c r="AL338" i="1"/>
  <c r="AK338" i="1"/>
  <c r="AJ338" i="1"/>
  <c r="AI338" i="1"/>
  <c r="AH338" i="1"/>
  <c r="B338" i="1"/>
  <c r="A338" i="1" s="1"/>
  <c r="AU337" i="1"/>
  <c r="AL337" i="1"/>
  <c r="AK337" i="1"/>
  <c r="AJ337" i="1"/>
  <c r="AI337" i="1"/>
  <c r="AH337" i="1"/>
  <c r="B337" i="1"/>
  <c r="A337" i="1" s="1"/>
  <c r="AU336" i="1"/>
  <c r="AL336" i="1"/>
  <c r="AK336" i="1"/>
  <c r="AJ336" i="1"/>
  <c r="AI336" i="1"/>
  <c r="AH336" i="1"/>
  <c r="B336" i="1"/>
  <c r="A336" i="1" s="1"/>
  <c r="AU335" i="1"/>
  <c r="AL335" i="1"/>
  <c r="AK335" i="1"/>
  <c r="AJ335" i="1"/>
  <c r="AI335" i="1"/>
  <c r="AH335" i="1"/>
  <c r="B335" i="1"/>
  <c r="A335" i="1" s="1"/>
  <c r="AU334" i="1"/>
  <c r="AL334" i="1"/>
  <c r="AK334" i="1"/>
  <c r="AJ334" i="1"/>
  <c r="AI334" i="1"/>
  <c r="AH334" i="1"/>
  <c r="B334" i="1"/>
  <c r="A334" i="1" s="1"/>
  <c r="AU333" i="1"/>
  <c r="AL333" i="1"/>
  <c r="AK333" i="1"/>
  <c r="AJ333" i="1"/>
  <c r="AI333" i="1"/>
  <c r="AH333" i="1"/>
  <c r="B333" i="1"/>
  <c r="A333" i="1" s="1"/>
  <c r="AU332" i="1"/>
  <c r="AL332" i="1"/>
  <c r="AK332" i="1"/>
  <c r="AJ332" i="1"/>
  <c r="AI332" i="1"/>
  <c r="AH332" i="1"/>
  <c r="B332" i="1"/>
  <c r="A332" i="1" s="1"/>
  <c r="AU331" i="1"/>
  <c r="AL331" i="1"/>
  <c r="AK331" i="1"/>
  <c r="AJ331" i="1"/>
  <c r="AI331" i="1"/>
  <c r="AH331" i="1"/>
  <c r="B331" i="1"/>
  <c r="A331" i="1" s="1"/>
  <c r="AU330" i="1"/>
  <c r="AL330" i="1"/>
  <c r="AK330" i="1"/>
  <c r="AJ330" i="1"/>
  <c r="AI330" i="1"/>
  <c r="AH330" i="1"/>
  <c r="B330" i="1"/>
  <c r="A330" i="1" s="1"/>
  <c r="AU329" i="1"/>
  <c r="AL329" i="1"/>
  <c r="AK329" i="1"/>
  <c r="AJ329" i="1"/>
  <c r="AI329" i="1"/>
  <c r="AH329" i="1"/>
  <c r="B329" i="1"/>
  <c r="A329" i="1" s="1"/>
  <c r="AU328" i="1"/>
  <c r="AL328" i="1"/>
  <c r="AK328" i="1"/>
  <c r="AJ328" i="1"/>
  <c r="AI328" i="1"/>
  <c r="AH328" i="1"/>
  <c r="B328" i="1"/>
  <c r="A328" i="1" s="1"/>
  <c r="AU327" i="1"/>
  <c r="AL327" i="1"/>
  <c r="AK327" i="1"/>
  <c r="AJ327" i="1"/>
  <c r="AI327" i="1"/>
  <c r="AH327" i="1"/>
  <c r="B327" i="1"/>
  <c r="A327" i="1" s="1"/>
  <c r="AU326" i="1"/>
  <c r="AL326" i="1"/>
  <c r="AK326" i="1"/>
  <c r="AJ326" i="1"/>
  <c r="AI326" i="1"/>
  <c r="AH326" i="1"/>
  <c r="B326" i="1"/>
  <c r="A326" i="1" s="1"/>
  <c r="AL325" i="1"/>
  <c r="AK325" i="1"/>
  <c r="AJ325" i="1"/>
  <c r="AI325" i="1"/>
  <c r="AH325" i="1"/>
  <c r="B325" i="1"/>
  <c r="A325" i="1" s="1"/>
  <c r="AU324" i="1"/>
  <c r="AL324" i="1"/>
  <c r="AK324" i="1"/>
  <c r="AJ324" i="1"/>
  <c r="AI324" i="1"/>
  <c r="AH324" i="1"/>
  <c r="B324" i="1"/>
  <c r="A324" i="1" s="1"/>
  <c r="AU323" i="1"/>
  <c r="AL323" i="1"/>
  <c r="AK323" i="1"/>
  <c r="AJ323" i="1"/>
  <c r="AI323" i="1"/>
  <c r="AH323" i="1"/>
  <c r="B323" i="1"/>
  <c r="A323" i="1" s="1"/>
  <c r="AU322" i="1"/>
  <c r="AL322" i="1"/>
  <c r="AK322" i="1"/>
  <c r="AJ322" i="1"/>
  <c r="AI322" i="1"/>
  <c r="AH322" i="1"/>
  <c r="B322" i="1"/>
  <c r="A322" i="1" s="1"/>
  <c r="AU321" i="1"/>
  <c r="AL321" i="1"/>
  <c r="AK321" i="1"/>
  <c r="AJ321" i="1"/>
  <c r="AI321" i="1"/>
  <c r="AH321" i="1"/>
  <c r="B321" i="1"/>
  <c r="A321" i="1" s="1"/>
  <c r="AU320" i="1"/>
  <c r="AL320" i="1"/>
  <c r="AK320" i="1"/>
  <c r="AJ320" i="1"/>
  <c r="AI320" i="1"/>
  <c r="AH320" i="1"/>
  <c r="B320" i="1"/>
  <c r="A320" i="1" s="1"/>
  <c r="AU319" i="1"/>
  <c r="AL319" i="1"/>
  <c r="AK319" i="1"/>
  <c r="AJ319" i="1"/>
  <c r="AI319" i="1"/>
  <c r="AH319" i="1"/>
  <c r="B319" i="1"/>
  <c r="A319" i="1" s="1"/>
  <c r="AU318" i="1"/>
  <c r="AL318" i="1"/>
  <c r="AK318" i="1"/>
  <c r="AJ318" i="1"/>
  <c r="AI318" i="1"/>
  <c r="AH318" i="1"/>
  <c r="B318" i="1"/>
  <c r="A318" i="1" s="1"/>
  <c r="AU317" i="1"/>
  <c r="AL317" i="1"/>
  <c r="AK317" i="1"/>
  <c r="AJ317" i="1"/>
  <c r="AI317" i="1"/>
  <c r="AH317" i="1"/>
  <c r="B317" i="1"/>
  <c r="A317" i="1" s="1"/>
  <c r="AU316" i="1"/>
  <c r="AL316" i="1"/>
  <c r="AK316" i="1"/>
  <c r="AJ316" i="1"/>
  <c r="AI316" i="1"/>
  <c r="AH316" i="1"/>
  <c r="B316" i="1"/>
  <c r="A316" i="1" s="1"/>
  <c r="AU315" i="1"/>
  <c r="AL315" i="1"/>
  <c r="AK315" i="1"/>
  <c r="AJ315" i="1"/>
  <c r="AI315" i="1"/>
  <c r="AH315" i="1"/>
  <c r="B315" i="1"/>
  <c r="A315" i="1" s="1"/>
  <c r="AU314" i="1"/>
  <c r="AL314" i="1"/>
  <c r="AK314" i="1"/>
  <c r="AJ314" i="1"/>
  <c r="AI314" i="1"/>
  <c r="AH314" i="1"/>
  <c r="B314" i="1"/>
  <c r="A314" i="1" s="1"/>
  <c r="AU313" i="1"/>
  <c r="AL313" i="1"/>
  <c r="AK313" i="1"/>
  <c r="AJ313" i="1"/>
  <c r="AI313" i="1"/>
  <c r="AH313" i="1"/>
  <c r="B313" i="1"/>
  <c r="A313" i="1" s="1"/>
  <c r="AU312" i="1"/>
  <c r="AL312" i="1"/>
  <c r="AK312" i="1"/>
  <c r="AJ312" i="1"/>
  <c r="AI312" i="1"/>
  <c r="AH312" i="1"/>
  <c r="B312" i="1"/>
  <c r="A312" i="1" s="1"/>
  <c r="AU311" i="1"/>
  <c r="AL311" i="1"/>
  <c r="AK311" i="1"/>
  <c r="AJ311" i="1"/>
  <c r="AI311" i="1"/>
  <c r="AH311" i="1"/>
  <c r="B311" i="1"/>
  <c r="A311" i="1" s="1"/>
  <c r="AU310" i="1"/>
  <c r="AL310" i="1"/>
  <c r="AK310" i="1"/>
  <c r="AJ310" i="1"/>
  <c r="AI310" i="1"/>
  <c r="AH310" i="1"/>
  <c r="B310" i="1"/>
  <c r="A310" i="1" s="1"/>
  <c r="AU309" i="1"/>
  <c r="AL309" i="1"/>
  <c r="AK309" i="1"/>
  <c r="AJ309" i="1"/>
  <c r="AI309" i="1"/>
  <c r="AH309" i="1"/>
  <c r="B309" i="1"/>
  <c r="A309" i="1" s="1"/>
  <c r="AU308" i="1"/>
  <c r="AL308" i="1"/>
  <c r="AK308" i="1"/>
  <c r="AJ308" i="1"/>
  <c r="AI308" i="1"/>
  <c r="AH308" i="1"/>
  <c r="B308" i="1"/>
  <c r="A308" i="1" s="1"/>
  <c r="AU307" i="1"/>
  <c r="AL307" i="1"/>
  <c r="AK307" i="1"/>
  <c r="AJ307" i="1"/>
  <c r="AI307" i="1"/>
  <c r="AH307" i="1"/>
  <c r="B307" i="1"/>
  <c r="A307" i="1" s="1"/>
  <c r="AU306" i="1"/>
  <c r="AL306" i="1"/>
  <c r="AK306" i="1"/>
  <c r="AJ306" i="1"/>
  <c r="AI306" i="1"/>
  <c r="AH306" i="1"/>
  <c r="B306" i="1"/>
  <c r="A306" i="1" s="1"/>
  <c r="AU305" i="1"/>
  <c r="AL305" i="1"/>
  <c r="AK305" i="1"/>
  <c r="AJ305" i="1"/>
  <c r="AI305" i="1"/>
  <c r="AH305" i="1"/>
  <c r="B305" i="1"/>
  <c r="A305" i="1" s="1"/>
  <c r="AU304" i="1"/>
  <c r="AL304" i="1"/>
  <c r="AK304" i="1"/>
  <c r="AJ304" i="1"/>
  <c r="AI304" i="1"/>
  <c r="AH304" i="1"/>
  <c r="B304" i="1"/>
  <c r="A304" i="1" s="1"/>
  <c r="AU303" i="1"/>
  <c r="AL303" i="1"/>
  <c r="AK303" i="1"/>
  <c r="AJ303" i="1"/>
  <c r="AI303" i="1"/>
  <c r="AH303" i="1"/>
  <c r="B303" i="1"/>
  <c r="A303" i="1" s="1"/>
  <c r="AU302" i="1"/>
  <c r="AL302" i="1"/>
  <c r="AK302" i="1"/>
  <c r="AJ302" i="1"/>
  <c r="AI302" i="1"/>
  <c r="AH302" i="1"/>
  <c r="B302" i="1"/>
  <c r="A302" i="1" s="1"/>
  <c r="AU301" i="1"/>
  <c r="AL301" i="1"/>
  <c r="AK301" i="1"/>
  <c r="AJ301" i="1"/>
  <c r="AI301" i="1"/>
  <c r="AH301" i="1"/>
  <c r="B301" i="1"/>
  <c r="A301" i="1" s="1"/>
  <c r="AU300" i="1"/>
  <c r="AL300" i="1"/>
  <c r="AK300" i="1"/>
  <c r="AJ300" i="1"/>
  <c r="AI300" i="1"/>
  <c r="AH300" i="1"/>
  <c r="B300" i="1"/>
  <c r="A300" i="1" s="1"/>
  <c r="AU299" i="1"/>
  <c r="AL299" i="1"/>
  <c r="AK299" i="1"/>
  <c r="AJ299" i="1"/>
  <c r="AI299" i="1"/>
  <c r="AH299" i="1"/>
  <c r="B299" i="1"/>
  <c r="A299" i="1" s="1"/>
  <c r="AU298" i="1"/>
  <c r="AL298" i="1"/>
  <c r="AK298" i="1"/>
  <c r="AJ298" i="1"/>
  <c r="AI298" i="1"/>
  <c r="AH298" i="1"/>
  <c r="B298" i="1"/>
  <c r="A298" i="1" s="1"/>
  <c r="AU297" i="1"/>
  <c r="AL297" i="1"/>
  <c r="AK297" i="1"/>
  <c r="AJ297" i="1"/>
  <c r="AI297" i="1"/>
  <c r="AH297" i="1"/>
  <c r="B297" i="1"/>
  <c r="A297" i="1" s="1"/>
  <c r="AU296" i="1"/>
  <c r="AL296" i="1"/>
  <c r="AK296" i="1"/>
  <c r="AJ296" i="1"/>
  <c r="AI296" i="1"/>
  <c r="AH296" i="1"/>
  <c r="B296" i="1"/>
  <c r="A296" i="1" s="1"/>
  <c r="AU295" i="1"/>
  <c r="AL295" i="1"/>
  <c r="AK295" i="1"/>
  <c r="AJ295" i="1"/>
  <c r="AI295" i="1"/>
  <c r="AH295" i="1"/>
  <c r="B295" i="1"/>
  <c r="A295" i="1" s="1"/>
  <c r="AU294" i="1"/>
  <c r="AL294" i="1"/>
  <c r="AK294" i="1"/>
  <c r="AJ294" i="1"/>
  <c r="AI294" i="1"/>
  <c r="AH294" i="1"/>
  <c r="G294" i="1"/>
  <c r="B294" i="1"/>
  <c r="A294" i="1" s="1"/>
  <c r="AU293" i="1"/>
  <c r="AL293" i="1"/>
  <c r="AK293" i="1"/>
  <c r="AJ293" i="1"/>
  <c r="AI293" i="1"/>
  <c r="AH293" i="1"/>
  <c r="G293" i="1"/>
  <c r="B293" i="1"/>
  <c r="A293" i="1" s="1"/>
  <c r="AU292" i="1"/>
  <c r="AL292" i="1"/>
  <c r="AK292" i="1"/>
  <c r="AJ292" i="1"/>
  <c r="AI292" i="1"/>
  <c r="AH292" i="1"/>
  <c r="G292" i="1"/>
  <c r="B292" i="1"/>
  <c r="A292" i="1" s="1"/>
  <c r="AU291" i="1"/>
  <c r="AL291" i="1"/>
  <c r="AK291" i="1"/>
  <c r="AJ291" i="1"/>
  <c r="AI291" i="1"/>
  <c r="AH291" i="1"/>
  <c r="G291" i="1"/>
  <c r="B291" i="1"/>
  <c r="A291" i="1" s="1"/>
  <c r="AU290" i="1"/>
  <c r="AL290" i="1"/>
  <c r="AK290" i="1"/>
  <c r="AJ290" i="1"/>
  <c r="AI290" i="1"/>
  <c r="AH290" i="1"/>
  <c r="G290" i="1"/>
  <c r="B290" i="1"/>
  <c r="A290" i="1" s="1"/>
  <c r="AU289" i="1"/>
  <c r="AL289" i="1"/>
  <c r="AK289" i="1"/>
  <c r="AJ289" i="1"/>
  <c r="AI289" i="1"/>
  <c r="AH289" i="1"/>
  <c r="G289" i="1"/>
  <c r="B289" i="1"/>
  <c r="A289" i="1" s="1"/>
  <c r="AU288" i="1"/>
  <c r="AL288" i="1"/>
  <c r="AK288" i="1"/>
  <c r="AJ288" i="1"/>
  <c r="AI288" i="1"/>
  <c r="AH288" i="1"/>
  <c r="G288" i="1"/>
  <c r="B288" i="1"/>
  <c r="A288" i="1" s="1"/>
  <c r="AU287" i="1"/>
  <c r="AL287" i="1"/>
  <c r="AK287" i="1"/>
  <c r="AJ287" i="1"/>
  <c r="AI287" i="1"/>
  <c r="AH287" i="1"/>
  <c r="G287" i="1"/>
  <c r="B287" i="1"/>
  <c r="A287" i="1" s="1"/>
  <c r="AU286" i="1"/>
  <c r="AL286" i="1"/>
  <c r="AK286" i="1"/>
  <c r="AJ286" i="1"/>
  <c r="AI286" i="1"/>
  <c r="AH286" i="1"/>
  <c r="G286" i="1"/>
  <c r="B286" i="1"/>
  <c r="A286" i="1" s="1"/>
  <c r="AU285" i="1"/>
  <c r="AL285" i="1"/>
  <c r="AK285" i="1"/>
  <c r="AJ285" i="1"/>
  <c r="AI285" i="1"/>
  <c r="AH285" i="1"/>
  <c r="G285" i="1"/>
  <c r="B285" i="1"/>
  <c r="A285" i="1" s="1"/>
  <c r="AU284" i="1"/>
  <c r="AL284" i="1"/>
  <c r="AK284" i="1"/>
  <c r="AJ284" i="1"/>
  <c r="AI284" i="1"/>
  <c r="AH284" i="1"/>
  <c r="G284" i="1"/>
  <c r="B284" i="1"/>
  <c r="A284" i="1" s="1"/>
  <c r="AU283" i="1"/>
  <c r="AL283" i="1"/>
  <c r="AK283" i="1"/>
  <c r="AJ283" i="1"/>
  <c r="AI283" i="1"/>
  <c r="AH283" i="1"/>
  <c r="G283" i="1"/>
  <c r="B283" i="1"/>
  <c r="A283" i="1" s="1"/>
  <c r="AU282" i="1"/>
  <c r="AL282" i="1"/>
  <c r="AK282" i="1"/>
  <c r="AJ282" i="1"/>
  <c r="AI282" i="1"/>
  <c r="AH282" i="1"/>
  <c r="G282" i="1"/>
  <c r="B282" i="1"/>
  <c r="A282" i="1" s="1"/>
  <c r="AU281" i="1"/>
  <c r="AL281" i="1"/>
  <c r="AK281" i="1"/>
  <c r="AJ281" i="1"/>
  <c r="AI281" i="1"/>
  <c r="AH281" i="1"/>
  <c r="G281" i="1"/>
  <c r="B281" i="1"/>
  <c r="A281" i="1" s="1"/>
  <c r="AU280" i="1"/>
  <c r="AL280" i="1"/>
  <c r="AK280" i="1"/>
  <c r="AJ280" i="1"/>
  <c r="AI280" i="1"/>
  <c r="AH280" i="1"/>
  <c r="G280" i="1"/>
  <c r="B280" i="1"/>
  <c r="A280" i="1" s="1"/>
  <c r="AU279" i="1"/>
  <c r="AL279" i="1"/>
  <c r="AK279" i="1"/>
  <c r="AJ279" i="1"/>
  <c r="AI279" i="1"/>
  <c r="AH279" i="1"/>
  <c r="G279" i="1"/>
  <c r="B279" i="1"/>
  <c r="A279" i="1" s="1"/>
  <c r="AU278" i="1"/>
  <c r="AL278" i="1"/>
  <c r="AK278" i="1"/>
  <c r="AJ278" i="1"/>
  <c r="AI278" i="1"/>
  <c r="AH278" i="1"/>
  <c r="G278" i="1"/>
  <c r="B278" i="1"/>
  <c r="A278" i="1" s="1"/>
  <c r="AU277" i="1"/>
  <c r="AL277" i="1"/>
  <c r="AK277" i="1"/>
  <c r="AJ277" i="1"/>
  <c r="AI277" i="1"/>
  <c r="AH277" i="1"/>
  <c r="G277" i="1"/>
  <c r="B277" i="1"/>
  <c r="A277" i="1" s="1"/>
  <c r="AU276" i="1"/>
  <c r="AL276" i="1"/>
  <c r="AK276" i="1"/>
  <c r="AJ276" i="1"/>
  <c r="AI276" i="1"/>
  <c r="AH276" i="1"/>
  <c r="G276" i="1"/>
  <c r="B276" i="1"/>
  <c r="A276" i="1" s="1"/>
  <c r="AU275" i="1"/>
  <c r="AL275" i="1"/>
  <c r="AK275" i="1"/>
  <c r="AJ275" i="1"/>
  <c r="AI275" i="1"/>
  <c r="AH275" i="1"/>
  <c r="G275" i="1"/>
  <c r="B275" i="1"/>
  <c r="A275" i="1" s="1"/>
  <c r="AU274" i="1"/>
  <c r="AL274" i="1"/>
  <c r="AK274" i="1"/>
  <c r="AJ274" i="1"/>
  <c r="AI274" i="1"/>
  <c r="AH274" i="1"/>
  <c r="G274" i="1"/>
  <c r="B274" i="1"/>
  <c r="A274" i="1" s="1"/>
  <c r="AU273" i="1"/>
  <c r="AL273" i="1"/>
  <c r="AK273" i="1"/>
  <c r="AJ273" i="1"/>
  <c r="AI273" i="1"/>
  <c r="AH273" i="1"/>
  <c r="G273" i="1"/>
  <c r="B273" i="1"/>
  <c r="A273" i="1" s="1"/>
  <c r="AU272" i="1"/>
  <c r="AL272" i="1"/>
  <c r="AK272" i="1"/>
  <c r="AJ272" i="1"/>
  <c r="AI272" i="1"/>
  <c r="AH272" i="1"/>
  <c r="G272" i="1"/>
  <c r="B272" i="1"/>
  <c r="A272" i="1" s="1"/>
  <c r="AU271" i="1"/>
  <c r="AL271" i="1"/>
  <c r="AK271" i="1"/>
  <c r="AJ271" i="1"/>
  <c r="AI271" i="1"/>
  <c r="AH271" i="1"/>
  <c r="G271" i="1"/>
  <c r="B271" i="1"/>
  <c r="A271" i="1" s="1"/>
  <c r="AU270" i="1"/>
  <c r="AL270" i="1"/>
  <c r="AK270" i="1"/>
  <c r="AJ270" i="1"/>
  <c r="AI270" i="1"/>
  <c r="AH270" i="1"/>
  <c r="G270" i="1"/>
  <c r="B270" i="1"/>
  <c r="A270" i="1" s="1"/>
  <c r="AU269" i="1"/>
  <c r="AL269" i="1"/>
  <c r="AK269" i="1"/>
  <c r="AJ269" i="1"/>
  <c r="AI269" i="1"/>
  <c r="AH269" i="1"/>
  <c r="G269" i="1"/>
  <c r="B269" i="1"/>
  <c r="A269" i="1" s="1"/>
  <c r="AU268" i="1"/>
  <c r="AL268" i="1"/>
  <c r="AK268" i="1"/>
  <c r="AJ268" i="1"/>
  <c r="AI268" i="1"/>
  <c r="AH268" i="1"/>
  <c r="G268" i="1"/>
  <c r="B268" i="1"/>
  <c r="A268" i="1" s="1"/>
  <c r="AU267" i="1"/>
  <c r="AL267" i="1"/>
  <c r="AK267" i="1"/>
  <c r="AJ267" i="1"/>
  <c r="AI267" i="1"/>
  <c r="AH267" i="1"/>
  <c r="G267" i="1"/>
  <c r="B267" i="1"/>
  <c r="A267" i="1" s="1"/>
  <c r="AU266" i="1"/>
  <c r="AL266" i="1"/>
  <c r="AK266" i="1"/>
  <c r="AJ266" i="1"/>
  <c r="AI266" i="1"/>
  <c r="AH266" i="1"/>
  <c r="G266" i="1"/>
  <c r="B266" i="1"/>
  <c r="A266" i="1" s="1"/>
  <c r="AU265" i="1"/>
  <c r="AL265" i="1"/>
  <c r="AK265" i="1"/>
  <c r="AJ265" i="1"/>
  <c r="AI265" i="1"/>
  <c r="AH265" i="1"/>
  <c r="G265" i="1"/>
  <c r="B265" i="1"/>
  <c r="A265" i="1" s="1"/>
  <c r="AU264" i="1"/>
  <c r="AL264" i="1"/>
  <c r="AK264" i="1"/>
  <c r="AJ264" i="1"/>
  <c r="AI264" i="1"/>
  <c r="AH264" i="1"/>
  <c r="G264" i="1"/>
  <c r="B264" i="1"/>
  <c r="A264" i="1" s="1"/>
  <c r="AU263" i="1"/>
  <c r="AL263" i="1"/>
  <c r="AK263" i="1"/>
  <c r="AJ263" i="1"/>
  <c r="AI263" i="1"/>
  <c r="AH263" i="1"/>
  <c r="G263" i="1"/>
  <c r="B263" i="1"/>
  <c r="A263" i="1" s="1"/>
  <c r="AU262" i="1"/>
  <c r="AL262" i="1"/>
  <c r="AK262" i="1"/>
  <c r="AJ262" i="1"/>
  <c r="AI262" i="1"/>
  <c r="AH262" i="1"/>
  <c r="G262" i="1"/>
  <c r="B262" i="1"/>
  <c r="A262" i="1" s="1"/>
  <c r="AU261" i="1"/>
  <c r="AL261" i="1"/>
  <c r="AK261" i="1"/>
  <c r="AJ261" i="1"/>
  <c r="AI261" i="1"/>
  <c r="AH261" i="1"/>
  <c r="G261" i="1"/>
  <c r="B261" i="1"/>
  <c r="A261" i="1" s="1"/>
  <c r="AU260" i="1"/>
  <c r="AL260" i="1"/>
  <c r="AK260" i="1"/>
  <c r="AJ260" i="1"/>
  <c r="AI260" i="1"/>
  <c r="AH260" i="1"/>
  <c r="G260" i="1"/>
  <c r="B260" i="1"/>
  <c r="A260" i="1" s="1"/>
  <c r="AU259" i="1"/>
  <c r="AL259" i="1"/>
  <c r="AK259" i="1"/>
  <c r="AJ259" i="1"/>
  <c r="AI259" i="1"/>
  <c r="AH259" i="1"/>
  <c r="G259" i="1"/>
  <c r="B259" i="1"/>
  <c r="A259" i="1" s="1"/>
  <c r="AU258" i="1"/>
  <c r="AL258" i="1"/>
  <c r="AK258" i="1"/>
  <c r="AJ258" i="1"/>
  <c r="AI258" i="1"/>
  <c r="AH258" i="1"/>
  <c r="G258" i="1"/>
  <c r="B258" i="1"/>
  <c r="A258" i="1" s="1"/>
  <c r="AU257" i="1"/>
  <c r="AL257" i="1"/>
  <c r="AK257" i="1"/>
  <c r="AJ257" i="1"/>
  <c r="AI257" i="1"/>
  <c r="AH257" i="1"/>
  <c r="G257" i="1"/>
  <c r="B257" i="1"/>
  <c r="A257" i="1" s="1"/>
  <c r="AU256" i="1"/>
  <c r="AL256" i="1"/>
  <c r="AK256" i="1"/>
  <c r="AJ256" i="1"/>
  <c r="AI256" i="1"/>
  <c r="AH256" i="1"/>
  <c r="G256" i="1"/>
  <c r="B256" i="1"/>
  <c r="A256" i="1" s="1"/>
  <c r="AU255" i="1"/>
  <c r="AL255" i="1"/>
  <c r="AK255" i="1"/>
  <c r="AJ255" i="1"/>
  <c r="AI255" i="1"/>
  <c r="AH255" i="1"/>
  <c r="G255" i="1"/>
  <c r="B255" i="1"/>
  <c r="A255" i="1" s="1"/>
  <c r="AU254" i="1"/>
  <c r="AL254" i="1"/>
  <c r="AK254" i="1"/>
  <c r="AJ254" i="1"/>
  <c r="AI254" i="1"/>
  <c r="AH254" i="1"/>
  <c r="G254" i="1"/>
  <c r="B254" i="1"/>
  <c r="A254" i="1" s="1"/>
  <c r="AU253" i="1"/>
  <c r="AL253" i="1"/>
  <c r="AK253" i="1"/>
  <c r="AJ253" i="1"/>
  <c r="AI253" i="1"/>
  <c r="AH253" i="1"/>
  <c r="G253" i="1"/>
  <c r="B253" i="1"/>
  <c r="A253" i="1" s="1"/>
  <c r="AU252" i="1"/>
  <c r="AL252" i="1"/>
  <c r="AK252" i="1"/>
  <c r="AJ252" i="1"/>
  <c r="AI252" i="1"/>
  <c r="AH252" i="1"/>
  <c r="G252" i="1"/>
  <c r="B252" i="1"/>
  <c r="A252" i="1" s="1"/>
  <c r="AU251" i="1"/>
  <c r="AL251" i="1"/>
  <c r="AK251" i="1"/>
  <c r="AJ251" i="1"/>
  <c r="AI251" i="1"/>
  <c r="AH251" i="1"/>
  <c r="G251" i="1"/>
  <c r="B251" i="1"/>
  <c r="A251" i="1" s="1"/>
  <c r="AU250" i="1"/>
  <c r="AL250" i="1"/>
  <c r="AK250" i="1"/>
  <c r="AJ250" i="1"/>
  <c r="AI250" i="1"/>
  <c r="AH250" i="1"/>
  <c r="G250" i="1"/>
  <c r="B250" i="1"/>
  <c r="A250" i="1" s="1"/>
  <c r="AU249" i="1"/>
  <c r="AL249" i="1"/>
  <c r="AK249" i="1"/>
  <c r="AJ249" i="1"/>
  <c r="AI249" i="1"/>
  <c r="AH249" i="1"/>
  <c r="G249" i="1"/>
  <c r="B249" i="1"/>
  <c r="A249" i="1" s="1"/>
  <c r="AU248" i="1"/>
  <c r="AL248" i="1"/>
  <c r="AK248" i="1"/>
  <c r="AJ248" i="1"/>
  <c r="AI248" i="1"/>
  <c r="AH248" i="1"/>
  <c r="G248" i="1"/>
  <c r="B248" i="1"/>
  <c r="A248" i="1" s="1"/>
  <c r="AU247" i="1"/>
  <c r="AL247" i="1"/>
  <c r="AK247" i="1"/>
  <c r="AJ247" i="1"/>
  <c r="AI247" i="1"/>
  <c r="AH247" i="1"/>
  <c r="G247" i="1"/>
  <c r="B247" i="1"/>
  <c r="A247" i="1" s="1"/>
  <c r="AU246" i="1"/>
  <c r="AL246" i="1"/>
  <c r="AK246" i="1"/>
  <c r="AJ246" i="1"/>
  <c r="AI246" i="1"/>
  <c r="AH246" i="1"/>
  <c r="G246" i="1"/>
  <c r="B246" i="1"/>
  <c r="A246" i="1" s="1"/>
  <c r="AU245" i="1"/>
  <c r="AL245" i="1"/>
  <c r="AK245" i="1"/>
  <c r="AJ245" i="1"/>
  <c r="AI245" i="1"/>
  <c r="AH245" i="1"/>
  <c r="G245" i="1"/>
  <c r="B245" i="1"/>
  <c r="A245" i="1" s="1"/>
  <c r="AU244" i="1"/>
  <c r="AL244" i="1"/>
  <c r="AK244" i="1"/>
  <c r="AJ244" i="1"/>
  <c r="AI244" i="1"/>
  <c r="AH244" i="1"/>
  <c r="G244" i="1"/>
  <c r="B244" i="1"/>
  <c r="A244" i="1" s="1"/>
  <c r="AU243" i="1"/>
  <c r="AL243" i="1"/>
  <c r="AK243" i="1"/>
  <c r="AJ243" i="1"/>
  <c r="AI243" i="1"/>
  <c r="AH243" i="1"/>
  <c r="G243" i="1"/>
  <c r="B243" i="1"/>
  <c r="A243" i="1" s="1"/>
  <c r="AU242" i="1"/>
  <c r="AL242" i="1"/>
  <c r="AK242" i="1"/>
  <c r="AJ242" i="1"/>
  <c r="AI242" i="1"/>
  <c r="AH242" i="1"/>
  <c r="G242" i="1"/>
  <c r="B242" i="1"/>
  <c r="A242" i="1" s="1"/>
  <c r="AU241" i="1"/>
  <c r="AL241" i="1"/>
  <c r="AK241" i="1"/>
  <c r="AJ241" i="1"/>
  <c r="AI241" i="1"/>
  <c r="AH241" i="1"/>
  <c r="G241" i="1"/>
  <c r="B241" i="1"/>
  <c r="A241" i="1" s="1"/>
  <c r="AU240" i="1"/>
  <c r="AL240" i="1"/>
  <c r="AK240" i="1"/>
  <c r="AJ240" i="1"/>
  <c r="AI240" i="1"/>
  <c r="AH240" i="1"/>
  <c r="G240" i="1"/>
  <c r="B240" i="1"/>
  <c r="A240" i="1" s="1"/>
  <c r="AU239" i="1"/>
  <c r="AL239" i="1"/>
  <c r="AK239" i="1"/>
  <c r="AJ239" i="1"/>
  <c r="AI239" i="1"/>
  <c r="AH239" i="1"/>
  <c r="G239" i="1"/>
  <c r="B239" i="1"/>
  <c r="A239" i="1" s="1"/>
  <c r="AU238" i="1"/>
  <c r="AL238" i="1"/>
  <c r="AK238" i="1"/>
  <c r="AJ238" i="1"/>
  <c r="AI238" i="1"/>
  <c r="AH238" i="1"/>
  <c r="G238" i="1"/>
  <c r="B238" i="1"/>
  <c r="A238" i="1" s="1"/>
  <c r="AU237" i="1"/>
  <c r="AL237" i="1"/>
  <c r="AK237" i="1"/>
  <c r="AJ237" i="1"/>
  <c r="AI237" i="1"/>
  <c r="AH237" i="1"/>
  <c r="G237" i="1"/>
  <c r="B237" i="1"/>
  <c r="A237" i="1" s="1"/>
  <c r="AU236" i="1"/>
  <c r="AL236" i="1"/>
  <c r="AK236" i="1"/>
  <c r="AJ236" i="1"/>
  <c r="AI236" i="1"/>
  <c r="AH236" i="1"/>
  <c r="G236" i="1"/>
  <c r="B236" i="1"/>
  <c r="A236" i="1" s="1"/>
  <c r="AU235" i="1"/>
  <c r="AL235" i="1"/>
  <c r="AK235" i="1"/>
  <c r="AJ235" i="1"/>
  <c r="AI235" i="1"/>
  <c r="AH235" i="1"/>
  <c r="G235" i="1"/>
  <c r="B235" i="1"/>
  <c r="A235" i="1" s="1"/>
  <c r="AU234" i="1"/>
  <c r="AL234" i="1"/>
  <c r="AK234" i="1"/>
  <c r="AJ234" i="1"/>
  <c r="AI234" i="1"/>
  <c r="AH234" i="1"/>
  <c r="G234" i="1"/>
  <c r="B234" i="1"/>
  <c r="A234" i="1" s="1"/>
  <c r="AU233" i="1"/>
  <c r="AL233" i="1"/>
  <c r="AK233" i="1"/>
  <c r="AJ233" i="1"/>
  <c r="AI233" i="1"/>
  <c r="AH233" i="1"/>
  <c r="G233" i="1"/>
  <c r="B233" i="1"/>
  <c r="A233" i="1" s="1"/>
  <c r="AU232" i="1"/>
  <c r="AL232" i="1"/>
  <c r="AK232" i="1"/>
  <c r="AJ232" i="1"/>
  <c r="AI232" i="1"/>
  <c r="AH232" i="1"/>
  <c r="G232" i="1"/>
  <c r="B232" i="1"/>
  <c r="A232" i="1" s="1"/>
  <c r="AU231" i="1"/>
  <c r="AL231" i="1"/>
  <c r="AK231" i="1"/>
  <c r="AJ231" i="1"/>
  <c r="AI231" i="1"/>
  <c r="AH231" i="1"/>
  <c r="G231" i="1"/>
  <c r="B231" i="1"/>
  <c r="A231" i="1" s="1"/>
  <c r="AU230" i="1"/>
  <c r="AL230" i="1"/>
  <c r="AK230" i="1"/>
  <c r="AJ230" i="1"/>
  <c r="AI230" i="1"/>
  <c r="AH230" i="1"/>
  <c r="G230" i="1"/>
  <c r="B230" i="1"/>
  <c r="A230" i="1" s="1"/>
  <c r="AU229" i="1"/>
  <c r="AL229" i="1"/>
  <c r="AK229" i="1"/>
  <c r="AJ229" i="1"/>
  <c r="AI229" i="1"/>
  <c r="AH229" i="1"/>
  <c r="G229" i="1"/>
  <c r="B229" i="1"/>
  <c r="A229" i="1" s="1"/>
  <c r="AU228" i="1"/>
  <c r="AL228" i="1"/>
  <c r="AK228" i="1"/>
  <c r="AJ228" i="1"/>
  <c r="AI228" i="1"/>
  <c r="AH228" i="1"/>
  <c r="G228" i="1"/>
  <c r="B228" i="1"/>
  <c r="A228" i="1" s="1"/>
  <c r="AU227" i="1"/>
  <c r="AL227" i="1"/>
  <c r="AK227" i="1"/>
  <c r="AJ227" i="1"/>
  <c r="AI227" i="1"/>
  <c r="AH227" i="1"/>
  <c r="G227" i="1"/>
  <c r="B227" i="1"/>
  <c r="A227" i="1" s="1"/>
  <c r="AU226" i="1"/>
  <c r="AL226" i="1"/>
  <c r="AK226" i="1"/>
  <c r="AJ226" i="1"/>
  <c r="AI226" i="1"/>
  <c r="AH226" i="1"/>
  <c r="G226" i="1"/>
  <c r="B226" i="1"/>
  <c r="A226" i="1" s="1"/>
  <c r="AU225" i="1"/>
  <c r="AL225" i="1"/>
  <c r="AK225" i="1"/>
  <c r="AJ225" i="1"/>
  <c r="AI225" i="1"/>
  <c r="AH225" i="1"/>
  <c r="G225" i="1"/>
  <c r="B225" i="1"/>
  <c r="A225" i="1" s="1"/>
  <c r="AU224" i="1"/>
  <c r="AL224" i="1"/>
  <c r="AK224" i="1"/>
  <c r="AJ224" i="1"/>
  <c r="AI224" i="1"/>
  <c r="AH224" i="1"/>
  <c r="G224" i="1"/>
  <c r="B224" i="1"/>
  <c r="A224" i="1" s="1"/>
  <c r="AU223" i="1"/>
  <c r="AL223" i="1"/>
  <c r="AK223" i="1"/>
  <c r="AJ223" i="1"/>
  <c r="AI223" i="1"/>
  <c r="AH223" i="1"/>
  <c r="G223" i="1"/>
  <c r="B223" i="1"/>
  <c r="A223" i="1" s="1"/>
  <c r="AU222" i="1"/>
  <c r="AL222" i="1"/>
  <c r="AK222" i="1"/>
  <c r="AJ222" i="1"/>
  <c r="AI222" i="1"/>
  <c r="AH222" i="1"/>
  <c r="G222" i="1"/>
  <c r="B222" i="1"/>
  <c r="A222" i="1" s="1"/>
  <c r="AU221" i="1"/>
  <c r="AL221" i="1"/>
  <c r="AK221" i="1"/>
  <c r="AJ221" i="1"/>
  <c r="AI221" i="1"/>
  <c r="AH221" i="1"/>
  <c r="G221" i="1"/>
  <c r="B221" i="1"/>
  <c r="A221" i="1" s="1"/>
  <c r="AU220" i="1"/>
  <c r="AL220" i="1"/>
  <c r="AK220" i="1"/>
  <c r="AJ220" i="1"/>
  <c r="AI220" i="1"/>
  <c r="AH220" i="1"/>
  <c r="G220" i="1"/>
  <c r="B220" i="1"/>
  <c r="A220" i="1" s="1"/>
  <c r="AU219" i="1"/>
  <c r="AL219" i="1"/>
  <c r="AK219" i="1"/>
  <c r="AJ219" i="1"/>
  <c r="AI219" i="1"/>
  <c r="AH219" i="1"/>
  <c r="G219" i="1"/>
  <c r="B219" i="1"/>
  <c r="A219" i="1" s="1"/>
  <c r="AU218" i="1"/>
  <c r="AL218" i="1"/>
  <c r="AK218" i="1"/>
  <c r="AJ218" i="1"/>
  <c r="AI218" i="1"/>
  <c r="AH218" i="1"/>
  <c r="G218" i="1"/>
  <c r="B218" i="1"/>
  <c r="A218" i="1" s="1"/>
  <c r="AU217" i="1"/>
  <c r="AL217" i="1"/>
  <c r="AK217" i="1"/>
  <c r="AJ217" i="1"/>
  <c r="AI217" i="1"/>
  <c r="AH217" i="1"/>
  <c r="G217" i="1"/>
  <c r="B217" i="1"/>
  <c r="A217" i="1" s="1"/>
  <c r="AU216" i="1"/>
  <c r="AL216" i="1"/>
  <c r="AK216" i="1"/>
  <c r="AJ216" i="1"/>
  <c r="AI216" i="1"/>
  <c r="AH216" i="1"/>
  <c r="G216" i="1"/>
  <c r="B216" i="1"/>
  <c r="A216" i="1" s="1"/>
  <c r="AU215" i="1"/>
  <c r="AL215" i="1"/>
  <c r="AK215" i="1"/>
  <c r="AJ215" i="1"/>
  <c r="AI215" i="1"/>
  <c r="AH215" i="1"/>
  <c r="G215" i="1"/>
  <c r="B215" i="1"/>
  <c r="A215" i="1" s="1"/>
  <c r="AU214" i="1"/>
  <c r="AL214" i="1"/>
  <c r="AK214" i="1"/>
  <c r="AJ214" i="1"/>
  <c r="AI214" i="1"/>
  <c r="AH214" i="1"/>
  <c r="G214" i="1"/>
  <c r="B214" i="1"/>
  <c r="A214" i="1" s="1"/>
  <c r="AU213" i="1"/>
  <c r="AL213" i="1"/>
  <c r="AK213" i="1"/>
  <c r="AJ213" i="1"/>
  <c r="AI213" i="1"/>
  <c r="AH213" i="1"/>
  <c r="G213" i="1"/>
  <c r="B213" i="1"/>
  <c r="A213" i="1" s="1"/>
  <c r="AU212" i="1"/>
  <c r="AL212" i="1"/>
  <c r="AK212" i="1"/>
  <c r="AJ212" i="1"/>
  <c r="AI212" i="1"/>
  <c r="AH212" i="1"/>
  <c r="G212" i="1"/>
  <c r="B212" i="1"/>
  <c r="A212" i="1" s="1"/>
  <c r="AU211" i="1"/>
  <c r="AL211" i="1"/>
  <c r="AK211" i="1"/>
  <c r="AJ211" i="1"/>
  <c r="AI211" i="1"/>
  <c r="AH211" i="1"/>
  <c r="G211" i="1"/>
  <c r="B211" i="1"/>
  <c r="A211" i="1" s="1"/>
  <c r="AU210" i="1"/>
  <c r="AL210" i="1"/>
  <c r="AK210" i="1"/>
  <c r="AJ210" i="1"/>
  <c r="AI210" i="1"/>
  <c r="AH210" i="1"/>
  <c r="G210" i="1"/>
  <c r="B210" i="1"/>
  <c r="A210" i="1" s="1"/>
  <c r="AU209" i="1"/>
  <c r="AL209" i="1"/>
  <c r="AK209" i="1"/>
  <c r="AJ209" i="1"/>
  <c r="AI209" i="1"/>
  <c r="AH209" i="1"/>
  <c r="G209" i="1"/>
  <c r="B209" i="1"/>
  <c r="A209" i="1" s="1"/>
  <c r="AU208" i="1"/>
  <c r="AL208" i="1"/>
  <c r="AK208" i="1"/>
  <c r="AJ208" i="1"/>
  <c r="AI208" i="1"/>
  <c r="AH208" i="1"/>
  <c r="G208" i="1"/>
  <c r="B208" i="1"/>
  <c r="A208" i="1" s="1"/>
  <c r="AU207" i="1"/>
  <c r="AL207" i="1"/>
  <c r="AK207" i="1"/>
  <c r="AJ207" i="1"/>
  <c r="AI207" i="1"/>
  <c r="AH207" i="1"/>
  <c r="G207" i="1"/>
  <c r="B207" i="1"/>
  <c r="A207" i="1" s="1"/>
  <c r="AU206" i="1"/>
  <c r="AL206" i="1"/>
  <c r="AK206" i="1"/>
  <c r="AJ206" i="1"/>
  <c r="AI206" i="1"/>
  <c r="AH206" i="1"/>
  <c r="G206" i="1"/>
  <c r="B206" i="1"/>
  <c r="A206" i="1" s="1"/>
  <c r="AU205" i="1"/>
  <c r="AL205" i="1"/>
  <c r="AK205" i="1"/>
  <c r="AJ205" i="1"/>
  <c r="AI205" i="1"/>
  <c r="AH205" i="1"/>
  <c r="G205" i="1"/>
  <c r="B205" i="1"/>
  <c r="A205" i="1" s="1"/>
  <c r="AU204" i="1"/>
  <c r="AL204" i="1"/>
  <c r="AK204" i="1"/>
  <c r="AJ204" i="1"/>
  <c r="AI204" i="1"/>
  <c r="AH204" i="1"/>
  <c r="G204" i="1"/>
  <c r="B204" i="1"/>
  <c r="A204" i="1" s="1"/>
  <c r="AU203" i="1"/>
  <c r="AL203" i="1"/>
  <c r="AK203" i="1"/>
  <c r="AJ203" i="1"/>
  <c r="AI203" i="1"/>
  <c r="AH203" i="1"/>
  <c r="G203" i="1"/>
  <c r="B203" i="1"/>
  <c r="A203" i="1" s="1"/>
  <c r="AU202" i="1"/>
  <c r="AL202" i="1"/>
  <c r="AK202" i="1"/>
  <c r="AJ202" i="1"/>
  <c r="AI202" i="1"/>
  <c r="AH202" i="1"/>
  <c r="G202" i="1"/>
  <c r="B202" i="1"/>
  <c r="A202" i="1" s="1"/>
  <c r="AU201" i="1"/>
  <c r="AL201" i="1"/>
  <c r="AK201" i="1"/>
  <c r="AJ201" i="1"/>
  <c r="AI201" i="1"/>
  <c r="AH201" i="1"/>
  <c r="G201" i="1"/>
  <c r="B201" i="1"/>
  <c r="A201" i="1" s="1"/>
  <c r="AU200" i="1"/>
  <c r="AL200" i="1"/>
  <c r="AK200" i="1"/>
  <c r="AJ200" i="1"/>
  <c r="AI200" i="1"/>
  <c r="AH200" i="1"/>
  <c r="G200" i="1"/>
  <c r="B200" i="1"/>
  <c r="A200" i="1" s="1"/>
  <c r="AU199" i="1"/>
  <c r="AL199" i="1"/>
  <c r="AK199" i="1"/>
  <c r="AJ199" i="1"/>
  <c r="AI199" i="1"/>
  <c r="AH199" i="1"/>
  <c r="G199" i="1"/>
  <c r="B199" i="1"/>
  <c r="A199" i="1" s="1"/>
  <c r="AU198" i="1"/>
  <c r="AL198" i="1"/>
  <c r="AK198" i="1"/>
  <c r="AJ198" i="1"/>
  <c r="AI198" i="1"/>
  <c r="AH198" i="1"/>
  <c r="G198" i="1"/>
  <c r="B198" i="1"/>
  <c r="A198" i="1" s="1"/>
  <c r="AU197" i="1"/>
  <c r="AL197" i="1"/>
  <c r="AK197" i="1"/>
  <c r="AJ197" i="1"/>
  <c r="AI197" i="1"/>
  <c r="AH197" i="1"/>
  <c r="G197" i="1"/>
  <c r="B197" i="1"/>
  <c r="A197" i="1" s="1"/>
  <c r="AU196" i="1"/>
  <c r="AL196" i="1"/>
  <c r="AK196" i="1"/>
  <c r="AJ196" i="1"/>
  <c r="AI196" i="1"/>
  <c r="AH196" i="1"/>
  <c r="G196" i="1"/>
  <c r="B196" i="1"/>
  <c r="A196" i="1" s="1"/>
  <c r="AU195" i="1"/>
  <c r="AL195" i="1"/>
  <c r="AK195" i="1"/>
  <c r="AJ195" i="1"/>
  <c r="AI195" i="1"/>
  <c r="AH195" i="1"/>
  <c r="G195" i="1"/>
  <c r="B195" i="1"/>
  <c r="A195" i="1" s="1"/>
  <c r="AU194" i="1"/>
  <c r="AL194" i="1"/>
  <c r="AK194" i="1"/>
  <c r="AJ194" i="1"/>
  <c r="AI194" i="1"/>
  <c r="AH194" i="1"/>
  <c r="G194" i="1"/>
  <c r="B194" i="1"/>
  <c r="A194" i="1" s="1"/>
  <c r="AU193" i="1"/>
  <c r="AL193" i="1"/>
  <c r="AK193" i="1"/>
  <c r="AJ193" i="1"/>
  <c r="AI193" i="1"/>
  <c r="AH193" i="1"/>
  <c r="G193" i="1"/>
  <c r="B193" i="1"/>
  <c r="A193" i="1" s="1"/>
  <c r="AU192" i="1"/>
  <c r="AL192" i="1"/>
  <c r="AK192" i="1"/>
  <c r="AJ192" i="1"/>
  <c r="AI192" i="1"/>
  <c r="AH192" i="1"/>
  <c r="G192" i="1"/>
  <c r="B192" i="1"/>
  <c r="A192" i="1" s="1"/>
  <c r="AU191" i="1"/>
  <c r="AL191" i="1"/>
  <c r="AK191" i="1"/>
  <c r="AJ191" i="1"/>
  <c r="AI191" i="1"/>
  <c r="AH191" i="1"/>
  <c r="G191" i="1"/>
  <c r="B191" i="1"/>
  <c r="A191" i="1" s="1"/>
  <c r="AU190" i="1"/>
  <c r="AL190" i="1"/>
  <c r="AK190" i="1"/>
  <c r="AJ190" i="1"/>
  <c r="AI190" i="1"/>
  <c r="AH190" i="1"/>
  <c r="G190" i="1"/>
  <c r="B190" i="1"/>
  <c r="A190" i="1" s="1"/>
  <c r="AU189" i="1"/>
  <c r="AL189" i="1"/>
  <c r="AK189" i="1"/>
  <c r="AJ189" i="1"/>
  <c r="AI189" i="1"/>
  <c r="AH189" i="1"/>
  <c r="G189" i="1"/>
  <c r="B189" i="1"/>
  <c r="A189" i="1" s="1"/>
  <c r="AU188" i="1"/>
  <c r="AL188" i="1"/>
  <c r="AK188" i="1"/>
  <c r="AJ188" i="1"/>
  <c r="AI188" i="1"/>
  <c r="AH188" i="1"/>
  <c r="G188" i="1"/>
  <c r="B188" i="1"/>
  <c r="A188" i="1" s="1"/>
  <c r="AU187" i="1"/>
  <c r="AL187" i="1"/>
  <c r="AK187" i="1"/>
  <c r="AJ187" i="1"/>
  <c r="AI187" i="1"/>
  <c r="AH187" i="1"/>
  <c r="G187" i="1"/>
  <c r="B187" i="1"/>
  <c r="A187" i="1" s="1"/>
  <c r="AU186" i="1"/>
  <c r="AL186" i="1"/>
  <c r="AK186" i="1"/>
  <c r="AJ186" i="1"/>
  <c r="AI186" i="1"/>
  <c r="AH186" i="1"/>
  <c r="G186" i="1"/>
  <c r="B186" i="1"/>
  <c r="A186" i="1" s="1"/>
  <c r="AU185" i="1"/>
  <c r="AL185" i="1"/>
  <c r="AK185" i="1"/>
  <c r="AJ185" i="1"/>
  <c r="AI185" i="1"/>
  <c r="AH185" i="1"/>
  <c r="G185" i="1"/>
  <c r="B185" i="1"/>
  <c r="A185" i="1" s="1"/>
  <c r="AU184" i="1"/>
  <c r="AL184" i="1"/>
  <c r="AK184" i="1"/>
  <c r="AJ184" i="1"/>
  <c r="AI184" i="1"/>
  <c r="AH184" i="1"/>
  <c r="G184" i="1"/>
  <c r="B184" i="1"/>
  <c r="A184" i="1" s="1"/>
  <c r="AU183" i="1"/>
  <c r="AL183" i="1"/>
  <c r="AK183" i="1"/>
  <c r="AJ183" i="1"/>
  <c r="AI183" i="1"/>
  <c r="AH183" i="1"/>
  <c r="G183" i="1"/>
  <c r="B183" i="1"/>
  <c r="A183" i="1" s="1"/>
  <c r="AU182" i="1"/>
  <c r="AL182" i="1"/>
  <c r="AK182" i="1"/>
  <c r="AJ182" i="1"/>
  <c r="AI182" i="1"/>
  <c r="AH182" i="1"/>
  <c r="G182" i="1"/>
  <c r="B182" i="1"/>
  <c r="A182" i="1" s="1"/>
  <c r="AU181" i="1"/>
  <c r="AL181" i="1"/>
  <c r="AK181" i="1"/>
  <c r="AJ181" i="1"/>
  <c r="AI181" i="1"/>
  <c r="AH181" i="1"/>
  <c r="G181" i="1"/>
  <c r="B181" i="1"/>
  <c r="A181" i="1" s="1"/>
  <c r="AU180" i="1"/>
  <c r="AL180" i="1"/>
  <c r="AK180" i="1"/>
  <c r="AJ180" i="1"/>
  <c r="AI180" i="1"/>
  <c r="AH180" i="1"/>
  <c r="G180" i="1"/>
  <c r="B180" i="1"/>
  <c r="A180" i="1" s="1"/>
  <c r="AU179" i="1"/>
  <c r="AL179" i="1"/>
  <c r="AK179" i="1"/>
  <c r="AJ179" i="1"/>
  <c r="AI179" i="1"/>
  <c r="AH179" i="1"/>
  <c r="G179" i="1"/>
  <c r="B179" i="1"/>
  <c r="A179" i="1" s="1"/>
  <c r="AU178" i="1"/>
  <c r="AL178" i="1"/>
  <c r="AK178" i="1"/>
  <c r="AJ178" i="1"/>
  <c r="AI178" i="1"/>
  <c r="AH178" i="1"/>
  <c r="G178" i="1"/>
  <c r="B178" i="1"/>
  <c r="A178" i="1" s="1"/>
  <c r="AU177" i="1"/>
  <c r="AL177" i="1"/>
  <c r="AK177" i="1"/>
  <c r="AJ177" i="1"/>
  <c r="AI177" i="1"/>
  <c r="AH177" i="1"/>
  <c r="G177" i="1"/>
  <c r="B177" i="1"/>
  <c r="A177" i="1" s="1"/>
  <c r="AU176" i="1"/>
  <c r="AL176" i="1"/>
  <c r="AK176" i="1"/>
  <c r="AJ176" i="1"/>
  <c r="AI176" i="1"/>
  <c r="AH176" i="1"/>
  <c r="G176" i="1"/>
  <c r="B176" i="1"/>
  <c r="A176" i="1" s="1"/>
  <c r="AU175" i="1"/>
  <c r="AL175" i="1"/>
  <c r="AK175" i="1"/>
  <c r="AJ175" i="1"/>
  <c r="AI175" i="1"/>
  <c r="AH175" i="1"/>
  <c r="G175" i="1"/>
  <c r="B175" i="1"/>
  <c r="A175" i="1" s="1"/>
  <c r="AU174" i="1"/>
  <c r="AL174" i="1"/>
  <c r="AK174" i="1"/>
  <c r="AJ174" i="1"/>
  <c r="AI174" i="1"/>
  <c r="AH174" i="1"/>
  <c r="G174" i="1"/>
  <c r="B174" i="1"/>
  <c r="A174" i="1" s="1"/>
  <c r="AU173" i="1"/>
  <c r="AL173" i="1"/>
  <c r="AK173" i="1"/>
  <c r="AJ173" i="1"/>
  <c r="AI173" i="1"/>
  <c r="AH173" i="1"/>
  <c r="G173" i="1"/>
  <c r="B173" i="1"/>
  <c r="A173" i="1" s="1"/>
  <c r="AU172" i="1"/>
  <c r="AL172" i="1"/>
  <c r="AK172" i="1"/>
  <c r="AJ172" i="1"/>
  <c r="AI172" i="1"/>
  <c r="AH172" i="1"/>
  <c r="G172" i="1"/>
  <c r="B172" i="1"/>
  <c r="A172" i="1" s="1"/>
  <c r="AU171" i="1"/>
  <c r="AL171" i="1"/>
  <c r="AK171" i="1"/>
  <c r="AJ171" i="1"/>
  <c r="AI171" i="1"/>
  <c r="AH171" i="1"/>
  <c r="G171" i="1"/>
  <c r="B171" i="1"/>
  <c r="A171" i="1" s="1"/>
  <c r="AU170" i="1"/>
  <c r="AL170" i="1"/>
  <c r="AK170" i="1"/>
  <c r="AJ170" i="1"/>
  <c r="AI170" i="1"/>
  <c r="AH170" i="1"/>
  <c r="G170" i="1"/>
  <c r="B170" i="1"/>
  <c r="A170" i="1" s="1"/>
  <c r="AU169" i="1"/>
  <c r="AL169" i="1"/>
  <c r="AK169" i="1"/>
  <c r="AJ169" i="1"/>
  <c r="AI169" i="1"/>
  <c r="AH169" i="1"/>
  <c r="G169" i="1"/>
  <c r="B169" i="1"/>
  <c r="A169" i="1" s="1"/>
  <c r="AU168" i="1"/>
  <c r="AL168" i="1"/>
  <c r="AK168" i="1"/>
  <c r="AJ168" i="1"/>
  <c r="AI168" i="1"/>
  <c r="AH168" i="1"/>
  <c r="G168" i="1"/>
  <c r="B168" i="1"/>
  <c r="A168" i="1" s="1"/>
  <c r="AU167" i="1"/>
  <c r="AL167" i="1"/>
  <c r="AK167" i="1"/>
  <c r="AJ167" i="1"/>
  <c r="AI167" i="1"/>
  <c r="AH167" i="1"/>
  <c r="G167" i="1"/>
  <c r="B167" i="1"/>
  <c r="A167" i="1" s="1"/>
  <c r="AU166" i="1"/>
  <c r="AL166" i="1"/>
  <c r="AK166" i="1"/>
  <c r="AJ166" i="1"/>
  <c r="AI166" i="1"/>
  <c r="AH166" i="1"/>
  <c r="G166" i="1"/>
  <c r="B166" i="1"/>
  <c r="A166" i="1" s="1"/>
  <c r="AU165" i="1"/>
  <c r="AL165" i="1"/>
  <c r="AK165" i="1"/>
  <c r="AJ165" i="1"/>
  <c r="AI165" i="1"/>
  <c r="AH165" i="1"/>
  <c r="G165" i="1"/>
  <c r="B165" i="1"/>
  <c r="A165" i="1" s="1"/>
  <c r="AU164" i="1"/>
  <c r="AL164" i="1"/>
  <c r="AK164" i="1"/>
  <c r="AJ164" i="1"/>
  <c r="AI164" i="1"/>
  <c r="AH164" i="1"/>
  <c r="G164" i="1"/>
  <c r="B164" i="1"/>
  <c r="A164" i="1" s="1"/>
  <c r="AU163" i="1"/>
  <c r="AL163" i="1"/>
  <c r="AK163" i="1"/>
  <c r="AJ163" i="1"/>
  <c r="AI163" i="1"/>
  <c r="AH163" i="1"/>
  <c r="G163" i="1"/>
  <c r="B163" i="1"/>
  <c r="A163" i="1" s="1"/>
  <c r="AU162" i="1"/>
  <c r="AL162" i="1"/>
  <c r="AK162" i="1"/>
  <c r="AJ162" i="1"/>
  <c r="AI162" i="1"/>
  <c r="AH162" i="1"/>
  <c r="G162" i="1"/>
  <c r="B162" i="1"/>
  <c r="A162" i="1" s="1"/>
  <c r="AU161" i="1"/>
  <c r="AL161" i="1"/>
  <c r="AK161" i="1"/>
  <c r="AJ161" i="1"/>
  <c r="AI161" i="1"/>
  <c r="AH161" i="1"/>
  <c r="G161" i="1"/>
  <c r="B161" i="1"/>
  <c r="A161" i="1" s="1"/>
  <c r="AU160" i="1"/>
  <c r="AL160" i="1"/>
  <c r="AK160" i="1"/>
  <c r="AJ160" i="1"/>
  <c r="AI160" i="1"/>
  <c r="AH160" i="1"/>
  <c r="G160" i="1"/>
  <c r="B160" i="1"/>
  <c r="A160" i="1" s="1"/>
  <c r="AU159" i="1"/>
  <c r="AL159" i="1"/>
  <c r="AK159" i="1"/>
  <c r="AJ159" i="1"/>
  <c r="AI159" i="1"/>
  <c r="AH159" i="1"/>
  <c r="G159" i="1"/>
  <c r="B159" i="1"/>
  <c r="A159" i="1" s="1"/>
  <c r="AU158" i="1"/>
  <c r="AL158" i="1"/>
  <c r="AK158" i="1"/>
  <c r="AJ158" i="1"/>
  <c r="AI158" i="1"/>
  <c r="AH158" i="1"/>
  <c r="G158" i="1"/>
  <c r="B158" i="1"/>
  <c r="A158" i="1" s="1"/>
  <c r="AU157" i="1"/>
  <c r="AL157" i="1"/>
  <c r="AK157" i="1"/>
  <c r="AJ157" i="1"/>
  <c r="AI157" i="1"/>
  <c r="AH157" i="1"/>
  <c r="G157" i="1"/>
  <c r="B157" i="1"/>
  <c r="A157" i="1" s="1"/>
  <c r="AU156" i="1"/>
  <c r="AL156" i="1"/>
  <c r="AK156" i="1"/>
  <c r="AJ156" i="1"/>
  <c r="AI156" i="1"/>
  <c r="AH156" i="1"/>
  <c r="G156" i="1"/>
  <c r="B156" i="1"/>
  <c r="A156" i="1" s="1"/>
  <c r="AU155" i="1"/>
  <c r="AL155" i="1"/>
  <c r="AK155" i="1"/>
  <c r="AJ155" i="1"/>
  <c r="AI155" i="1"/>
  <c r="AH155" i="1"/>
  <c r="G155" i="1"/>
  <c r="B155" i="1"/>
  <c r="A155" i="1" s="1"/>
  <c r="AU154" i="1"/>
  <c r="AL154" i="1"/>
  <c r="AK154" i="1"/>
  <c r="AJ154" i="1"/>
  <c r="AI154" i="1"/>
  <c r="AH154" i="1"/>
  <c r="G154" i="1"/>
  <c r="B154" i="1"/>
  <c r="A154" i="1" s="1"/>
  <c r="AU153" i="1"/>
  <c r="AL153" i="1"/>
  <c r="AK153" i="1"/>
  <c r="AJ153" i="1"/>
  <c r="AI153" i="1"/>
  <c r="AH153" i="1"/>
  <c r="G153" i="1"/>
  <c r="B153" i="1"/>
  <c r="A153" i="1" s="1"/>
  <c r="AU152" i="1"/>
  <c r="AL152" i="1"/>
  <c r="AK152" i="1"/>
  <c r="AJ152" i="1"/>
  <c r="AI152" i="1"/>
  <c r="AH152" i="1"/>
  <c r="G152" i="1"/>
  <c r="B152" i="1"/>
  <c r="A152" i="1" s="1"/>
  <c r="AU151" i="1"/>
  <c r="AL151" i="1"/>
  <c r="AK151" i="1"/>
  <c r="AJ151" i="1"/>
  <c r="AI151" i="1"/>
  <c r="AH151" i="1"/>
  <c r="G151" i="1"/>
  <c r="B151" i="1"/>
  <c r="A151" i="1" s="1"/>
  <c r="AU150" i="1"/>
  <c r="AL150" i="1"/>
  <c r="AK150" i="1"/>
  <c r="AJ150" i="1"/>
  <c r="AI150" i="1"/>
  <c r="AH150" i="1"/>
  <c r="G150" i="1"/>
  <c r="B150" i="1"/>
  <c r="A150" i="1" s="1"/>
  <c r="AU149" i="1"/>
  <c r="AL149" i="1"/>
  <c r="AK149" i="1"/>
  <c r="AJ149" i="1"/>
  <c r="AI149" i="1"/>
  <c r="AH149" i="1"/>
  <c r="G149" i="1"/>
  <c r="B149" i="1"/>
  <c r="A149" i="1" s="1"/>
  <c r="AU148" i="1"/>
  <c r="AL148" i="1"/>
  <c r="AK148" i="1"/>
  <c r="AJ148" i="1"/>
  <c r="AI148" i="1"/>
  <c r="AH148" i="1"/>
  <c r="G148" i="1"/>
  <c r="B148" i="1"/>
  <c r="A148" i="1" s="1"/>
  <c r="AU147" i="1"/>
  <c r="AL147" i="1"/>
  <c r="AK147" i="1"/>
  <c r="AJ147" i="1"/>
  <c r="AI147" i="1"/>
  <c r="AH147" i="1"/>
  <c r="G147" i="1"/>
  <c r="B147" i="1"/>
  <c r="A147" i="1" s="1"/>
  <c r="AU146" i="1"/>
  <c r="AL146" i="1"/>
  <c r="AK146" i="1"/>
  <c r="AJ146" i="1"/>
  <c r="AI146" i="1"/>
  <c r="AH146" i="1"/>
  <c r="G146" i="1"/>
  <c r="B146" i="1"/>
  <c r="A146" i="1" s="1"/>
  <c r="AU145" i="1"/>
  <c r="AL145" i="1"/>
  <c r="AK145" i="1"/>
  <c r="AJ145" i="1"/>
  <c r="AI145" i="1"/>
  <c r="AH145" i="1"/>
  <c r="G145" i="1"/>
  <c r="B145" i="1"/>
  <c r="A145" i="1" s="1"/>
  <c r="AU144" i="1"/>
  <c r="AL144" i="1"/>
  <c r="AK144" i="1"/>
  <c r="AJ144" i="1"/>
  <c r="AI144" i="1"/>
  <c r="AH144" i="1"/>
  <c r="G144" i="1"/>
  <c r="B144" i="1"/>
  <c r="A144" i="1" s="1"/>
  <c r="AU143" i="1"/>
  <c r="AL143" i="1"/>
  <c r="AK143" i="1"/>
  <c r="AJ143" i="1"/>
  <c r="AI143" i="1"/>
  <c r="AH143" i="1"/>
  <c r="G143" i="1"/>
  <c r="B143" i="1"/>
  <c r="A143" i="1" s="1"/>
  <c r="AU142" i="1"/>
  <c r="AL142" i="1"/>
  <c r="AK142" i="1"/>
  <c r="AJ142" i="1"/>
  <c r="AI142" i="1"/>
  <c r="AH142" i="1"/>
  <c r="G142" i="1"/>
  <c r="B142" i="1"/>
  <c r="A142" i="1" s="1"/>
  <c r="AU141" i="1"/>
  <c r="AL141" i="1"/>
  <c r="AK141" i="1"/>
  <c r="AJ141" i="1"/>
  <c r="AI141" i="1"/>
  <c r="AH141" i="1"/>
  <c r="G141" i="1"/>
  <c r="B141" i="1"/>
  <c r="A141" i="1" s="1"/>
  <c r="AU140" i="1"/>
  <c r="AL140" i="1"/>
  <c r="AK140" i="1"/>
  <c r="AJ140" i="1"/>
  <c r="AI140" i="1"/>
  <c r="AH140" i="1"/>
  <c r="G140" i="1"/>
  <c r="B140" i="1"/>
  <c r="A140" i="1" s="1"/>
  <c r="AU139" i="1"/>
  <c r="AL139" i="1"/>
  <c r="AK139" i="1"/>
  <c r="AJ139" i="1"/>
  <c r="AI139" i="1"/>
  <c r="AH139" i="1"/>
  <c r="G139" i="1"/>
  <c r="B139" i="1"/>
  <c r="A139" i="1" s="1"/>
  <c r="AU138" i="1"/>
  <c r="AL138" i="1"/>
  <c r="AK138" i="1"/>
  <c r="AJ138" i="1"/>
  <c r="AI138" i="1"/>
  <c r="AH138" i="1"/>
  <c r="G138" i="1"/>
  <c r="B138" i="1"/>
  <c r="A138" i="1" s="1"/>
  <c r="AU137" i="1"/>
  <c r="AL137" i="1"/>
  <c r="AK137" i="1"/>
  <c r="AJ137" i="1"/>
  <c r="AI137" i="1"/>
  <c r="AH137" i="1"/>
  <c r="G137" i="1"/>
  <c r="B137" i="1"/>
  <c r="A137" i="1" s="1"/>
  <c r="AU136" i="1"/>
  <c r="AL136" i="1"/>
  <c r="AK136" i="1"/>
  <c r="AJ136" i="1"/>
  <c r="AI136" i="1"/>
  <c r="AH136" i="1"/>
  <c r="G136" i="1"/>
  <c r="B136" i="1"/>
  <c r="A136" i="1" s="1"/>
  <c r="AU135" i="1"/>
  <c r="AL135" i="1"/>
  <c r="AK135" i="1"/>
  <c r="AJ135" i="1"/>
  <c r="AI135" i="1"/>
  <c r="AH135" i="1"/>
  <c r="G135" i="1"/>
  <c r="B135" i="1"/>
  <c r="A135" i="1" s="1"/>
  <c r="AU134" i="1"/>
  <c r="AL134" i="1"/>
  <c r="AK134" i="1"/>
  <c r="AJ134" i="1"/>
  <c r="AI134" i="1"/>
  <c r="AH134" i="1"/>
  <c r="G134" i="1"/>
  <c r="B134" i="1"/>
  <c r="A134" i="1" s="1"/>
  <c r="AU133" i="1"/>
  <c r="AL133" i="1"/>
  <c r="AK133" i="1"/>
  <c r="AJ133" i="1"/>
  <c r="AI133" i="1"/>
  <c r="AH133" i="1"/>
  <c r="G133" i="1"/>
  <c r="B133" i="1"/>
  <c r="A133" i="1" s="1"/>
  <c r="AU132" i="1"/>
  <c r="AL132" i="1"/>
  <c r="AK132" i="1"/>
  <c r="AJ132" i="1"/>
  <c r="AI132" i="1"/>
  <c r="AH132" i="1"/>
  <c r="G132" i="1"/>
  <c r="B132" i="1"/>
  <c r="A132" i="1" s="1"/>
  <c r="AU131" i="1"/>
  <c r="AL131" i="1"/>
  <c r="AK131" i="1"/>
  <c r="AJ131" i="1"/>
  <c r="AI131" i="1"/>
  <c r="AH131" i="1"/>
  <c r="G131" i="1"/>
  <c r="B131" i="1"/>
  <c r="A131" i="1" s="1"/>
  <c r="AU130" i="1"/>
  <c r="AL130" i="1"/>
  <c r="AK130" i="1"/>
  <c r="AJ130" i="1"/>
  <c r="AI130" i="1"/>
  <c r="AH130" i="1"/>
  <c r="G130" i="1"/>
  <c r="B130" i="1"/>
  <c r="A130" i="1" s="1"/>
  <c r="AU129" i="1"/>
  <c r="AL129" i="1"/>
  <c r="AK129" i="1"/>
  <c r="AJ129" i="1"/>
  <c r="AI129" i="1"/>
  <c r="AH129" i="1"/>
  <c r="G129" i="1"/>
  <c r="B129" i="1"/>
  <c r="A129" i="1" s="1"/>
  <c r="AU127" i="1"/>
  <c r="AL127" i="1"/>
  <c r="AK127" i="1"/>
  <c r="AJ127" i="1"/>
  <c r="AI127" i="1"/>
  <c r="AH127" i="1"/>
  <c r="G127" i="1"/>
  <c r="B127" i="1"/>
  <c r="A127" i="1" s="1"/>
  <c r="AU126" i="1"/>
  <c r="AL126" i="1"/>
  <c r="AK126" i="1"/>
  <c r="AJ126" i="1"/>
  <c r="AI126" i="1"/>
  <c r="AH126" i="1"/>
  <c r="G126" i="1"/>
  <c r="B126" i="1"/>
  <c r="A126" i="1" s="1"/>
  <c r="AU125" i="1"/>
  <c r="AL125" i="1"/>
  <c r="AK125" i="1"/>
  <c r="AJ125" i="1"/>
  <c r="AI125" i="1"/>
  <c r="AH125" i="1"/>
  <c r="G125" i="1"/>
  <c r="B125" i="1"/>
  <c r="A125" i="1" s="1"/>
  <c r="AU124" i="1"/>
  <c r="AL124" i="1"/>
  <c r="AK124" i="1"/>
  <c r="AJ124" i="1"/>
  <c r="AI124" i="1"/>
  <c r="AH124" i="1"/>
  <c r="G124" i="1"/>
  <c r="B124" i="1"/>
  <c r="A124" i="1" s="1"/>
  <c r="AU123" i="1"/>
  <c r="AL123" i="1"/>
  <c r="AK123" i="1"/>
  <c r="AJ123" i="1"/>
  <c r="AI123" i="1"/>
  <c r="AH123" i="1"/>
  <c r="G123" i="1"/>
  <c r="B123" i="1"/>
  <c r="A123" i="1" s="1"/>
  <c r="AU122" i="1"/>
  <c r="AL122" i="1"/>
  <c r="AK122" i="1"/>
  <c r="AJ122" i="1"/>
  <c r="AI122" i="1"/>
  <c r="AH122" i="1"/>
  <c r="G122" i="1"/>
  <c r="B122" i="1"/>
  <c r="A122" i="1" s="1"/>
  <c r="AU121" i="1"/>
  <c r="AL121" i="1"/>
  <c r="AK121" i="1"/>
  <c r="AJ121" i="1"/>
  <c r="AI121" i="1"/>
  <c r="AH121" i="1"/>
  <c r="G121" i="1"/>
  <c r="B121" i="1"/>
  <c r="A121" i="1" s="1"/>
  <c r="AU120" i="1"/>
  <c r="AL120" i="1"/>
  <c r="AK120" i="1"/>
  <c r="AJ120" i="1"/>
  <c r="AI120" i="1"/>
  <c r="AH120" i="1"/>
  <c r="G120" i="1"/>
  <c r="B120" i="1"/>
  <c r="A120" i="1" s="1"/>
  <c r="AU119" i="1"/>
  <c r="AL119" i="1"/>
  <c r="AK119" i="1"/>
  <c r="AJ119" i="1"/>
  <c r="AI119" i="1"/>
  <c r="AH119" i="1"/>
  <c r="G119" i="1"/>
  <c r="B119" i="1"/>
  <c r="A119" i="1" s="1"/>
  <c r="AU118" i="1"/>
  <c r="AL118" i="1"/>
  <c r="AK118" i="1"/>
  <c r="AJ118" i="1"/>
  <c r="AI118" i="1"/>
  <c r="AH118" i="1"/>
  <c r="G118" i="1"/>
  <c r="B118" i="1"/>
  <c r="A118" i="1" s="1"/>
  <c r="AU117" i="1"/>
  <c r="AL117" i="1"/>
  <c r="AK117" i="1"/>
  <c r="AJ117" i="1"/>
  <c r="AI117" i="1"/>
  <c r="AH117" i="1"/>
  <c r="G117" i="1"/>
  <c r="B117" i="1"/>
  <c r="A117" i="1" s="1"/>
  <c r="AU116" i="1"/>
  <c r="AL116" i="1"/>
  <c r="AK116" i="1"/>
  <c r="AJ116" i="1"/>
  <c r="AI116" i="1"/>
  <c r="AH116" i="1"/>
  <c r="G116" i="1"/>
  <c r="B116" i="1"/>
  <c r="A116" i="1" s="1"/>
  <c r="AU115" i="1"/>
  <c r="AL115" i="1"/>
  <c r="AK115" i="1"/>
  <c r="AJ115" i="1"/>
  <c r="AI115" i="1"/>
  <c r="AH115" i="1"/>
  <c r="G115" i="1"/>
  <c r="B115" i="1"/>
  <c r="A115" i="1" s="1"/>
  <c r="AU114" i="1"/>
  <c r="AL114" i="1"/>
  <c r="AK114" i="1"/>
  <c r="AJ114" i="1"/>
  <c r="AI114" i="1"/>
  <c r="AH114" i="1"/>
  <c r="G114" i="1"/>
  <c r="B114" i="1"/>
  <c r="A114" i="1" s="1"/>
  <c r="AU113" i="1"/>
  <c r="AL113" i="1"/>
  <c r="AK113" i="1"/>
  <c r="AJ113" i="1"/>
  <c r="AI113" i="1"/>
  <c r="AH113" i="1"/>
  <c r="G113" i="1"/>
  <c r="B113" i="1"/>
  <c r="A113" i="1" s="1"/>
  <c r="AU112" i="1"/>
  <c r="AL112" i="1"/>
  <c r="AK112" i="1"/>
  <c r="AJ112" i="1"/>
  <c r="AI112" i="1"/>
  <c r="AH112" i="1"/>
  <c r="G112" i="1"/>
  <c r="B112" i="1"/>
  <c r="A112" i="1" s="1"/>
  <c r="AU111" i="1"/>
  <c r="AL111" i="1"/>
  <c r="AK111" i="1"/>
  <c r="AJ111" i="1"/>
  <c r="AI111" i="1"/>
  <c r="AH111" i="1"/>
  <c r="G111" i="1"/>
  <c r="B111" i="1"/>
  <c r="A111" i="1" s="1"/>
  <c r="AU110" i="1"/>
  <c r="AL110" i="1"/>
  <c r="AK110" i="1"/>
  <c r="AJ110" i="1"/>
  <c r="AI110" i="1"/>
  <c r="AH110" i="1"/>
  <c r="G110" i="1"/>
  <c r="B110" i="1"/>
  <c r="A110" i="1" s="1"/>
  <c r="AU109" i="1"/>
  <c r="AL109" i="1"/>
  <c r="AK109" i="1"/>
  <c r="AJ109" i="1"/>
  <c r="AI109" i="1"/>
  <c r="AH109" i="1"/>
  <c r="G109" i="1"/>
  <c r="B109" i="1"/>
  <c r="A109" i="1" s="1"/>
  <c r="AU108" i="1"/>
  <c r="AL108" i="1"/>
  <c r="AK108" i="1"/>
  <c r="AJ108" i="1"/>
  <c r="AI108" i="1"/>
  <c r="AH108" i="1"/>
  <c r="G108" i="1"/>
  <c r="B108" i="1"/>
  <c r="A108" i="1" s="1"/>
  <c r="AU107" i="1"/>
  <c r="AL107" i="1"/>
  <c r="AK107" i="1"/>
  <c r="AJ107" i="1"/>
  <c r="AI107" i="1"/>
  <c r="AH107" i="1"/>
  <c r="G107" i="1"/>
  <c r="B107" i="1"/>
  <c r="A107" i="1" s="1"/>
  <c r="AU106" i="1"/>
  <c r="AL106" i="1"/>
  <c r="AK106" i="1"/>
  <c r="AJ106" i="1"/>
  <c r="AI106" i="1"/>
  <c r="AH106" i="1"/>
  <c r="G106" i="1"/>
  <c r="B106" i="1"/>
  <c r="A106" i="1" s="1"/>
  <c r="AU105" i="1"/>
  <c r="AL105" i="1"/>
  <c r="AK105" i="1"/>
  <c r="AJ105" i="1"/>
  <c r="AI105" i="1"/>
  <c r="AH105" i="1"/>
  <c r="G105" i="1"/>
  <c r="B105" i="1"/>
  <c r="A105" i="1" s="1"/>
  <c r="AU104" i="1"/>
  <c r="AL104" i="1"/>
  <c r="AK104" i="1"/>
  <c r="AJ104" i="1"/>
  <c r="AI104" i="1"/>
  <c r="AH104" i="1"/>
  <c r="G104" i="1"/>
  <c r="B104" i="1"/>
  <c r="A104" i="1" s="1"/>
  <c r="AU103" i="1"/>
  <c r="AL103" i="1"/>
  <c r="AK103" i="1"/>
  <c r="AJ103" i="1"/>
  <c r="AI103" i="1"/>
  <c r="AH103" i="1"/>
  <c r="G103" i="1"/>
  <c r="B103" i="1"/>
  <c r="A103" i="1" s="1"/>
  <c r="AU102" i="1"/>
  <c r="AL102" i="1"/>
  <c r="AK102" i="1"/>
  <c r="AJ102" i="1"/>
  <c r="AI102" i="1"/>
  <c r="AH102" i="1"/>
  <c r="G102" i="1"/>
  <c r="B102" i="1"/>
  <c r="A102" i="1" s="1"/>
  <c r="AU101" i="1"/>
  <c r="AL101" i="1"/>
  <c r="AK101" i="1"/>
  <c r="AJ101" i="1"/>
  <c r="AI101" i="1"/>
  <c r="AH101" i="1"/>
  <c r="G101" i="1"/>
  <c r="B101" i="1"/>
  <c r="A101" i="1" s="1"/>
  <c r="AU100" i="1"/>
  <c r="AL100" i="1"/>
  <c r="AK100" i="1"/>
  <c r="AJ100" i="1"/>
  <c r="AI100" i="1"/>
  <c r="AH100" i="1"/>
  <c r="G100" i="1"/>
  <c r="B100" i="1"/>
  <c r="A100" i="1" s="1"/>
  <c r="AU99" i="1"/>
  <c r="AL99" i="1"/>
  <c r="AK99" i="1"/>
  <c r="AJ99" i="1"/>
  <c r="AI99" i="1"/>
  <c r="AH99" i="1"/>
  <c r="G99" i="1"/>
  <c r="B99" i="1"/>
  <c r="A99" i="1" s="1"/>
  <c r="AU98" i="1"/>
  <c r="AL98" i="1"/>
  <c r="AK98" i="1"/>
  <c r="AJ98" i="1"/>
  <c r="AI98" i="1"/>
  <c r="AH98" i="1"/>
  <c r="G98" i="1"/>
  <c r="B98" i="1"/>
  <c r="A98" i="1" s="1"/>
  <c r="AU97" i="1"/>
  <c r="AL97" i="1"/>
  <c r="AK97" i="1"/>
  <c r="AJ97" i="1"/>
  <c r="AI97" i="1"/>
  <c r="AH97" i="1"/>
  <c r="G97" i="1"/>
  <c r="B97" i="1"/>
  <c r="A97" i="1" s="1"/>
  <c r="AU96" i="1"/>
  <c r="AL96" i="1"/>
  <c r="AK96" i="1"/>
  <c r="AJ96" i="1"/>
  <c r="AI96" i="1"/>
  <c r="AH96" i="1"/>
  <c r="G96" i="1"/>
  <c r="B96" i="1"/>
  <c r="A96" i="1" s="1"/>
  <c r="AU95" i="1"/>
  <c r="AL95" i="1"/>
  <c r="AK95" i="1"/>
  <c r="AJ95" i="1"/>
  <c r="AI95" i="1"/>
  <c r="AH95" i="1"/>
  <c r="G95" i="1"/>
  <c r="B95" i="1"/>
  <c r="A95" i="1" s="1"/>
  <c r="AU94" i="1"/>
  <c r="AL94" i="1"/>
  <c r="AK94" i="1"/>
  <c r="AJ94" i="1"/>
  <c r="AI94" i="1"/>
  <c r="AH94" i="1"/>
  <c r="G94" i="1"/>
  <c r="B94" i="1"/>
  <c r="A94" i="1" s="1"/>
  <c r="AU93" i="1"/>
  <c r="AL93" i="1"/>
  <c r="AK93" i="1"/>
  <c r="AJ93" i="1"/>
  <c r="AI93" i="1"/>
  <c r="AH93" i="1"/>
  <c r="G93" i="1"/>
  <c r="B93" i="1"/>
  <c r="A93" i="1" s="1"/>
  <c r="AU92" i="1"/>
  <c r="AL92" i="1"/>
  <c r="AK92" i="1"/>
  <c r="AJ92" i="1"/>
  <c r="AI92" i="1"/>
  <c r="AH92" i="1"/>
  <c r="G92" i="1"/>
  <c r="B92" i="1"/>
  <c r="A92" i="1" s="1"/>
  <c r="AU91" i="1"/>
  <c r="AL91" i="1"/>
  <c r="AK91" i="1"/>
  <c r="AJ91" i="1"/>
  <c r="AI91" i="1"/>
  <c r="AH91" i="1"/>
  <c r="G91" i="1"/>
  <c r="B91" i="1"/>
  <c r="A91" i="1" s="1"/>
  <c r="AU90" i="1"/>
  <c r="AL90" i="1"/>
  <c r="AK90" i="1"/>
  <c r="AJ90" i="1"/>
  <c r="AI90" i="1"/>
  <c r="AH90" i="1"/>
  <c r="G90" i="1"/>
  <c r="B90" i="1"/>
  <c r="A90" i="1" s="1"/>
  <c r="AU89" i="1"/>
  <c r="AL89" i="1"/>
  <c r="AK89" i="1"/>
  <c r="AJ89" i="1"/>
  <c r="AI89" i="1"/>
  <c r="AH89" i="1"/>
  <c r="G89" i="1"/>
  <c r="B89" i="1"/>
  <c r="A89" i="1" s="1"/>
  <c r="AU88" i="1"/>
  <c r="AL88" i="1"/>
  <c r="AK88" i="1"/>
  <c r="AJ88" i="1"/>
  <c r="AI88" i="1"/>
  <c r="AH88" i="1"/>
  <c r="G88" i="1"/>
  <c r="B88" i="1"/>
  <c r="A88" i="1" s="1"/>
  <c r="AU87" i="1"/>
  <c r="AL87" i="1"/>
  <c r="AK87" i="1"/>
  <c r="AJ87" i="1"/>
  <c r="AI87" i="1"/>
  <c r="AH87" i="1"/>
  <c r="G87" i="1"/>
  <c r="B87" i="1"/>
  <c r="A87" i="1" s="1"/>
  <c r="AU86" i="1"/>
  <c r="AL86" i="1"/>
  <c r="AK86" i="1"/>
  <c r="AJ86" i="1"/>
  <c r="AI86" i="1"/>
  <c r="AH86" i="1"/>
  <c r="G86" i="1"/>
  <c r="B86" i="1"/>
  <c r="A86" i="1" s="1"/>
  <c r="AU85" i="1"/>
  <c r="AL85" i="1"/>
  <c r="AK85" i="1"/>
  <c r="AJ85" i="1"/>
  <c r="AI85" i="1"/>
  <c r="AH85" i="1"/>
  <c r="G85" i="1"/>
  <c r="B85" i="1"/>
  <c r="A85" i="1" s="1"/>
  <c r="AU84" i="1"/>
  <c r="AL84" i="1"/>
  <c r="AK84" i="1"/>
  <c r="AJ84" i="1"/>
  <c r="AI84" i="1"/>
  <c r="AH84" i="1"/>
  <c r="G84" i="1"/>
  <c r="B84" i="1"/>
  <c r="A84" i="1" s="1"/>
  <c r="AU83" i="1"/>
  <c r="AL83" i="1"/>
  <c r="AK83" i="1"/>
  <c r="AJ83" i="1"/>
  <c r="AI83" i="1"/>
  <c r="AH83" i="1"/>
  <c r="G83" i="1"/>
  <c r="B83" i="1"/>
  <c r="A83" i="1" s="1"/>
  <c r="AU82" i="1"/>
  <c r="AL82" i="1"/>
  <c r="AK82" i="1"/>
  <c r="AJ82" i="1"/>
  <c r="AI82" i="1"/>
  <c r="AH82" i="1"/>
  <c r="G82" i="1"/>
  <c r="B82" i="1"/>
  <c r="A82" i="1" s="1"/>
  <c r="AU81" i="1"/>
  <c r="AL81" i="1"/>
  <c r="AK81" i="1"/>
  <c r="AJ81" i="1"/>
  <c r="AI81" i="1"/>
  <c r="AH81" i="1"/>
  <c r="G81" i="1"/>
  <c r="B81" i="1"/>
  <c r="A81" i="1" s="1"/>
  <c r="AU80" i="1"/>
  <c r="AL80" i="1"/>
  <c r="AK80" i="1"/>
  <c r="AJ80" i="1"/>
  <c r="AI80" i="1"/>
  <c r="AH80" i="1"/>
  <c r="G80" i="1"/>
  <c r="B80" i="1"/>
  <c r="A80" i="1" s="1"/>
  <c r="AU79" i="1"/>
  <c r="AL79" i="1"/>
  <c r="AK79" i="1"/>
  <c r="AJ79" i="1"/>
  <c r="AI79" i="1"/>
  <c r="AH79" i="1"/>
  <c r="G79" i="1"/>
  <c r="B79" i="1"/>
  <c r="A79" i="1" s="1"/>
  <c r="AU78" i="1"/>
  <c r="AL78" i="1"/>
  <c r="AK78" i="1"/>
  <c r="AJ78" i="1"/>
  <c r="AI78" i="1"/>
  <c r="AH78" i="1"/>
  <c r="G78" i="1"/>
  <c r="B78" i="1"/>
  <c r="A78" i="1" s="1"/>
  <c r="AU77" i="1"/>
  <c r="AL77" i="1"/>
  <c r="AK77" i="1"/>
  <c r="AJ77" i="1"/>
  <c r="AI77" i="1"/>
  <c r="AH77" i="1"/>
  <c r="G77" i="1"/>
  <c r="B77" i="1"/>
  <c r="A77" i="1" s="1"/>
  <c r="AU76" i="1"/>
  <c r="AL76" i="1"/>
  <c r="AK76" i="1"/>
  <c r="AJ76" i="1"/>
  <c r="AI76" i="1"/>
  <c r="AH76" i="1"/>
  <c r="G76" i="1"/>
  <c r="B76" i="1"/>
  <c r="A76" i="1" s="1"/>
  <c r="AU75" i="1"/>
  <c r="AL75" i="1"/>
  <c r="AK75" i="1"/>
  <c r="AJ75" i="1"/>
  <c r="AI75" i="1"/>
  <c r="AH75" i="1"/>
  <c r="G75" i="1"/>
  <c r="B75" i="1"/>
  <c r="A75" i="1" s="1"/>
  <c r="AU74" i="1"/>
  <c r="AL74" i="1"/>
  <c r="AK74" i="1"/>
  <c r="AJ74" i="1"/>
  <c r="AI74" i="1"/>
  <c r="AH74" i="1"/>
  <c r="G74" i="1"/>
  <c r="B74" i="1"/>
  <c r="A74" i="1" s="1"/>
  <c r="AU73" i="1"/>
  <c r="AL73" i="1"/>
  <c r="AK73" i="1"/>
  <c r="AJ73" i="1"/>
  <c r="AI73" i="1"/>
  <c r="AH73" i="1"/>
  <c r="G73" i="1"/>
  <c r="B73" i="1"/>
  <c r="A73" i="1" s="1"/>
  <c r="AU72" i="1"/>
  <c r="AL72" i="1"/>
  <c r="AK72" i="1"/>
  <c r="AJ72" i="1"/>
  <c r="AI72" i="1"/>
  <c r="AH72" i="1"/>
  <c r="G72" i="1"/>
  <c r="B72" i="1"/>
  <c r="A72" i="1" s="1"/>
  <c r="AU71" i="1"/>
  <c r="AL71" i="1"/>
  <c r="AK71" i="1"/>
  <c r="AJ71" i="1"/>
  <c r="AI71" i="1"/>
  <c r="AH71" i="1"/>
  <c r="G71" i="1"/>
  <c r="B71" i="1"/>
  <c r="A71" i="1" s="1"/>
  <c r="AU70" i="1"/>
  <c r="AL70" i="1"/>
  <c r="AK70" i="1"/>
  <c r="AJ70" i="1"/>
  <c r="AI70" i="1"/>
  <c r="AH70" i="1"/>
  <c r="G70" i="1"/>
  <c r="B70" i="1"/>
  <c r="A70" i="1" s="1"/>
  <c r="AU69" i="1"/>
  <c r="AL69" i="1"/>
  <c r="AK69" i="1"/>
  <c r="AJ69" i="1"/>
  <c r="AI69" i="1"/>
  <c r="AH69" i="1"/>
  <c r="G69" i="1"/>
  <c r="B69" i="1"/>
  <c r="AU68" i="1"/>
  <c r="AL68" i="1"/>
  <c r="AK68" i="1"/>
  <c r="AJ68" i="1"/>
  <c r="AI68" i="1"/>
  <c r="AH68" i="1"/>
  <c r="G68" i="1"/>
  <c r="B68" i="1"/>
  <c r="A68" i="1" s="1"/>
  <c r="AU67" i="1"/>
  <c r="AL67" i="1"/>
  <c r="AK67" i="1"/>
  <c r="AJ67" i="1"/>
  <c r="AI67" i="1"/>
  <c r="AH67" i="1"/>
  <c r="G67" i="1"/>
  <c r="B67" i="1"/>
  <c r="A67" i="1" s="1"/>
  <c r="AU66" i="1"/>
  <c r="AL66" i="1"/>
  <c r="AK66" i="1"/>
  <c r="AJ66" i="1"/>
  <c r="AI66" i="1"/>
  <c r="AH66" i="1"/>
  <c r="G66" i="1"/>
  <c r="B66" i="1"/>
  <c r="A66" i="1" s="1"/>
  <c r="AU65" i="1"/>
  <c r="AL65" i="1"/>
  <c r="AK65" i="1"/>
  <c r="AJ65" i="1"/>
  <c r="AI65" i="1"/>
  <c r="AH65" i="1"/>
  <c r="G65" i="1"/>
  <c r="B65" i="1"/>
  <c r="A65" i="1" s="1"/>
  <c r="AU64" i="1"/>
  <c r="AL64" i="1"/>
  <c r="AK64" i="1"/>
  <c r="AJ64" i="1"/>
  <c r="AI64" i="1"/>
  <c r="AH64" i="1"/>
  <c r="G64" i="1"/>
  <c r="B64" i="1"/>
  <c r="A64" i="1" s="1"/>
  <c r="AU63" i="1"/>
  <c r="AL63" i="1"/>
  <c r="AK63" i="1"/>
  <c r="AJ63" i="1"/>
  <c r="AI63" i="1"/>
  <c r="AH63" i="1"/>
  <c r="G63" i="1"/>
  <c r="B63" i="1"/>
  <c r="A63" i="1" s="1"/>
  <c r="AU62" i="1"/>
  <c r="AL62" i="1"/>
  <c r="AK62" i="1"/>
  <c r="AJ62" i="1"/>
  <c r="AI62" i="1"/>
  <c r="AH62" i="1"/>
  <c r="G62" i="1"/>
  <c r="B62" i="1"/>
  <c r="AU61" i="1"/>
  <c r="AL61" i="1"/>
  <c r="AK61" i="1"/>
  <c r="AJ61" i="1"/>
  <c r="AI61" i="1"/>
  <c r="AH61" i="1"/>
  <c r="G61" i="1"/>
  <c r="B61" i="1"/>
  <c r="A61" i="1" s="1"/>
  <c r="AU60" i="1"/>
  <c r="AL60" i="1"/>
  <c r="AK60" i="1"/>
  <c r="AJ60" i="1"/>
  <c r="AI60" i="1"/>
  <c r="AH60" i="1"/>
  <c r="G60" i="1"/>
  <c r="B60" i="1"/>
  <c r="A60" i="1" s="1"/>
  <c r="AU59" i="1"/>
  <c r="AL59" i="1"/>
  <c r="AK59" i="1"/>
  <c r="AJ59" i="1"/>
  <c r="AI59" i="1"/>
  <c r="AH59" i="1"/>
  <c r="G59" i="1"/>
  <c r="B59" i="1"/>
  <c r="A59" i="1" s="1"/>
  <c r="AU58" i="1"/>
  <c r="AL58" i="1"/>
  <c r="AK58" i="1"/>
  <c r="AJ58" i="1"/>
  <c r="AI58" i="1"/>
  <c r="AH58" i="1"/>
  <c r="G58" i="1"/>
  <c r="B58" i="1"/>
  <c r="A58" i="1" s="1"/>
  <c r="AU57" i="1"/>
  <c r="AL57" i="1"/>
  <c r="AK57" i="1"/>
  <c r="AJ57" i="1"/>
  <c r="AI57" i="1"/>
  <c r="AH57" i="1"/>
  <c r="G57" i="1"/>
  <c r="B57" i="1"/>
  <c r="A57" i="1" s="1"/>
  <c r="AU56" i="1"/>
  <c r="AL56" i="1"/>
  <c r="AK56" i="1"/>
  <c r="AJ56" i="1"/>
  <c r="AI56" i="1"/>
  <c r="AH56" i="1"/>
  <c r="G56" i="1"/>
  <c r="B56" i="1"/>
  <c r="A56" i="1" s="1"/>
  <c r="AU55" i="1"/>
  <c r="AL55" i="1"/>
  <c r="AK55" i="1"/>
  <c r="AJ55" i="1"/>
  <c r="AI55" i="1"/>
  <c r="AH55" i="1"/>
  <c r="G55" i="1"/>
  <c r="B55" i="1"/>
  <c r="A55" i="1" s="1"/>
  <c r="AU54" i="1"/>
  <c r="AL54" i="1"/>
  <c r="AK54" i="1"/>
  <c r="AJ54" i="1"/>
  <c r="AI54" i="1"/>
  <c r="AH54" i="1"/>
  <c r="G54" i="1"/>
  <c r="B54" i="1"/>
  <c r="A54" i="1" s="1"/>
  <c r="AU53" i="1"/>
  <c r="AL53" i="1"/>
  <c r="AK53" i="1"/>
  <c r="AJ53" i="1"/>
  <c r="AI53" i="1"/>
  <c r="AH53" i="1"/>
  <c r="G53" i="1"/>
  <c r="B53" i="1"/>
  <c r="A53" i="1" s="1"/>
  <c r="AU52" i="1"/>
  <c r="AL52" i="1"/>
  <c r="AK52" i="1"/>
  <c r="AJ52" i="1"/>
  <c r="AI52" i="1"/>
  <c r="AH52" i="1"/>
  <c r="G52" i="1"/>
  <c r="B52" i="1"/>
  <c r="A52" i="1" s="1"/>
  <c r="AU51" i="1"/>
  <c r="AL51" i="1"/>
  <c r="AK51" i="1"/>
  <c r="AJ51" i="1"/>
  <c r="AI51" i="1"/>
  <c r="AH51" i="1"/>
  <c r="G51" i="1"/>
  <c r="B51" i="1"/>
  <c r="A51" i="1" s="1"/>
  <c r="AU50" i="1"/>
  <c r="AL50" i="1"/>
  <c r="AK50" i="1"/>
  <c r="AJ50" i="1"/>
  <c r="AI50" i="1"/>
  <c r="AH50" i="1"/>
  <c r="G50" i="1"/>
  <c r="B50" i="1"/>
  <c r="AU49" i="1"/>
  <c r="AL49" i="1"/>
  <c r="AK49" i="1"/>
  <c r="AJ49" i="1"/>
  <c r="AI49" i="1"/>
  <c r="AH49" i="1"/>
  <c r="G49" i="1"/>
  <c r="B49" i="1"/>
  <c r="A49" i="1" s="1"/>
  <c r="AU48" i="1"/>
  <c r="AL48" i="1"/>
  <c r="AK48" i="1"/>
  <c r="AJ48" i="1"/>
  <c r="AI48" i="1"/>
  <c r="AH48" i="1"/>
  <c r="G48" i="1"/>
  <c r="B48" i="1"/>
  <c r="A48" i="1" s="1"/>
  <c r="AU47" i="1"/>
  <c r="AL47" i="1"/>
  <c r="AK47" i="1"/>
  <c r="AJ47" i="1"/>
  <c r="AI47" i="1"/>
  <c r="AH47" i="1"/>
  <c r="G47" i="1"/>
  <c r="B47" i="1"/>
  <c r="A47" i="1" s="1"/>
  <c r="AU46" i="1"/>
  <c r="AL46" i="1"/>
  <c r="AK46" i="1"/>
  <c r="AJ46" i="1"/>
  <c r="AI46" i="1"/>
  <c r="AH46" i="1"/>
  <c r="G46" i="1"/>
  <c r="B46" i="1"/>
  <c r="A46" i="1" s="1"/>
  <c r="AU45" i="1"/>
  <c r="AL45" i="1"/>
  <c r="AK45" i="1"/>
  <c r="AJ45" i="1"/>
  <c r="AI45" i="1"/>
  <c r="AH45" i="1"/>
  <c r="G45" i="1"/>
  <c r="B45" i="1"/>
  <c r="A45" i="1" s="1"/>
  <c r="AU44" i="1"/>
  <c r="AL44" i="1"/>
  <c r="AK44" i="1"/>
  <c r="AJ44" i="1"/>
  <c r="AI44" i="1"/>
  <c r="AH44" i="1"/>
  <c r="G44" i="1"/>
  <c r="B44" i="1"/>
  <c r="A44" i="1" s="1"/>
  <c r="AU43" i="1"/>
  <c r="AL43" i="1"/>
  <c r="AK43" i="1"/>
  <c r="AJ43" i="1"/>
  <c r="AI43" i="1"/>
  <c r="AH43" i="1"/>
  <c r="G43" i="1"/>
  <c r="B43" i="1"/>
  <c r="A43" i="1" s="1"/>
  <c r="AU42" i="1"/>
  <c r="AL42" i="1"/>
  <c r="AK42" i="1"/>
  <c r="AJ42" i="1"/>
  <c r="AI42" i="1"/>
  <c r="AH42" i="1"/>
  <c r="G42" i="1"/>
  <c r="B42" i="1"/>
  <c r="A42" i="1" s="1"/>
  <c r="AU41" i="1"/>
  <c r="AL41" i="1"/>
  <c r="AK41" i="1"/>
  <c r="AJ41" i="1"/>
  <c r="AI41" i="1"/>
  <c r="AH41" i="1"/>
  <c r="G41" i="1"/>
  <c r="B41" i="1"/>
  <c r="A41" i="1" s="1"/>
  <c r="AU40" i="1"/>
  <c r="AL40" i="1"/>
  <c r="AK40" i="1"/>
  <c r="AJ40" i="1"/>
  <c r="AI40" i="1"/>
  <c r="AH40" i="1"/>
  <c r="G40" i="1"/>
  <c r="B40" i="1"/>
  <c r="A40" i="1" s="1"/>
  <c r="AU39" i="1"/>
  <c r="AL39" i="1"/>
  <c r="AK39" i="1"/>
  <c r="AJ39" i="1"/>
  <c r="AI39" i="1"/>
  <c r="AH39" i="1"/>
  <c r="G39" i="1"/>
  <c r="B39" i="1"/>
  <c r="A39" i="1" s="1"/>
  <c r="AU38" i="1"/>
  <c r="AL38" i="1"/>
  <c r="AK38" i="1"/>
  <c r="AJ38" i="1"/>
  <c r="AI38" i="1"/>
  <c r="AH38" i="1"/>
  <c r="G38" i="1"/>
  <c r="B38" i="1"/>
  <c r="AU37" i="1"/>
  <c r="AL37" i="1"/>
  <c r="AK37" i="1"/>
  <c r="AJ37" i="1"/>
  <c r="AI37" i="1"/>
  <c r="AH37" i="1"/>
  <c r="G37" i="1"/>
  <c r="B37" i="1"/>
  <c r="A37" i="1" s="1"/>
  <c r="AU36" i="1"/>
  <c r="AL36" i="1"/>
  <c r="AK36" i="1"/>
  <c r="AJ36" i="1"/>
  <c r="AI36" i="1"/>
  <c r="AH36" i="1"/>
  <c r="G36" i="1"/>
  <c r="B36" i="1"/>
  <c r="A36" i="1" s="1"/>
  <c r="AU35" i="1"/>
  <c r="AL35" i="1"/>
  <c r="AK35" i="1"/>
  <c r="AJ35" i="1"/>
  <c r="AI35" i="1"/>
  <c r="AH35" i="1"/>
  <c r="G35" i="1"/>
  <c r="B35" i="1"/>
  <c r="A35" i="1" s="1"/>
  <c r="AU34" i="1"/>
  <c r="AL34" i="1"/>
  <c r="AK34" i="1"/>
  <c r="AJ34" i="1"/>
  <c r="AI34" i="1"/>
  <c r="AH34" i="1"/>
  <c r="G34" i="1"/>
  <c r="B34" i="1"/>
  <c r="A34" i="1" s="1"/>
  <c r="AU33" i="1"/>
  <c r="AL33" i="1"/>
  <c r="AK33" i="1"/>
  <c r="AJ33" i="1"/>
  <c r="AI33" i="1"/>
  <c r="AH33" i="1"/>
  <c r="G33" i="1"/>
  <c r="B33" i="1"/>
  <c r="A33" i="1" s="1"/>
  <c r="AU32" i="1"/>
  <c r="AL32" i="1"/>
  <c r="AK32" i="1"/>
  <c r="AJ32" i="1"/>
  <c r="AI32" i="1"/>
  <c r="AH32" i="1"/>
  <c r="G32" i="1"/>
  <c r="B32" i="1"/>
  <c r="AU31" i="1"/>
  <c r="AL31" i="1"/>
  <c r="AK31" i="1"/>
  <c r="AJ31" i="1"/>
  <c r="AI31" i="1"/>
  <c r="AH31" i="1"/>
  <c r="G31" i="1"/>
  <c r="B31" i="1"/>
  <c r="A31" i="1" s="1"/>
  <c r="AU30" i="1"/>
  <c r="AL30" i="1"/>
  <c r="AK30" i="1"/>
  <c r="AJ30" i="1"/>
  <c r="AI30" i="1"/>
  <c r="AH30" i="1"/>
  <c r="G30" i="1"/>
  <c r="B30" i="1"/>
  <c r="A30" i="1" s="1"/>
  <c r="AU29" i="1"/>
  <c r="AL29" i="1"/>
  <c r="AK29" i="1"/>
  <c r="AJ29" i="1"/>
  <c r="AI29" i="1"/>
  <c r="AH29" i="1"/>
  <c r="G29" i="1"/>
  <c r="B29" i="1"/>
  <c r="A29" i="1" s="1"/>
  <c r="AU28" i="1"/>
  <c r="AL28" i="1"/>
  <c r="AK28" i="1"/>
  <c r="AJ28" i="1"/>
  <c r="AI28" i="1"/>
  <c r="AH28" i="1"/>
  <c r="G28" i="1"/>
  <c r="B28" i="1"/>
  <c r="A28" i="1" s="1"/>
  <c r="AU27" i="1"/>
  <c r="AL27" i="1"/>
  <c r="AK27" i="1"/>
  <c r="AJ27" i="1"/>
  <c r="AI27" i="1"/>
  <c r="AH27" i="1"/>
  <c r="G27" i="1"/>
  <c r="B27" i="1"/>
  <c r="A27" i="1" s="1"/>
  <c r="AU26" i="1"/>
  <c r="AL26" i="1"/>
  <c r="AK26" i="1"/>
  <c r="AJ26" i="1"/>
  <c r="AI26" i="1"/>
  <c r="AH26" i="1"/>
  <c r="G26" i="1"/>
  <c r="B26" i="1"/>
  <c r="AU25" i="1"/>
  <c r="AL25" i="1"/>
  <c r="AK25" i="1"/>
  <c r="AJ25" i="1"/>
  <c r="AI25" i="1"/>
  <c r="AH25" i="1"/>
  <c r="G25" i="1"/>
  <c r="B25" i="1"/>
  <c r="A25" i="1" s="1"/>
  <c r="AU24" i="1"/>
  <c r="AL24" i="1"/>
  <c r="AK24" i="1"/>
  <c r="AJ24" i="1"/>
  <c r="AI24" i="1"/>
  <c r="AH24" i="1"/>
  <c r="G24" i="1"/>
  <c r="B24" i="1"/>
  <c r="A24" i="1" s="1"/>
  <c r="AU23" i="1"/>
  <c r="AL23" i="1"/>
  <c r="AK23" i="1"/>
  <c r="AJ23" i="1"/>
  <c r="AI23" i="1"/>
  <c r="AH23" i="1"/>
  <c r="G23" i="1"/>
  <c r="B23" i="1"/>
  <c r="A23" i="1" s="1"/>
  <c r="AU22" i="1"/>
  <c r="AL22" i="1"/>
  <c r="AK22" i="1"/>
  <c r="AJ22" i="1"/>
  <c r="AI22" i="1"/>
  <c r="AH22" i="1"/>
  <c r="G22" i="1"/>
  <c r="B22" i="1"/>
  <c r="A22" i="1" s="1"/>
  <c r="AU21" i="1"/>
  <c r="AL21" i="1"/>
  <c r="AK21" i="1"/>
  <c r="AJ21" i="1"/>
  <c r="AI21" i="1"/>
  <c r="AH21" i="1"/>
  <c r="G21" i="1"/>
  <c r="B21" i="1"/>
  <c r="A21" i="1" s="1"/>
  <c r="AU20" i="1"/>
  <c r="AL20" i="1"/>
  <c r="AK20" i="1"/>
  <c r="AJ20" i="1"/>
  <c r="AI20" i="1"/>
  <c r="AH20" i="1"/>
  <c r="G20" i="1"/>
  <c r="B20" i="1"/>
  <c r="A20" i="1" s="1"/>
  <c r="AU19" i="1"/>
  <c r="AL19" i="1"/>
  <c r="AK19" i="1"/>
  <c r="AJ19" i="1"/>
  <c r="AI19" i="1"/>
  <c r="AH19" i="1"/>
  <c r="G19" i="1"/>
  <c r="B19" i="1"/>
  <c r="A19" i="1" s="1"/>
  <c r="AU18" i="1"/>
  <c r="AL18" i="1"/>
  <c r="AK18" i="1"/>
  <c r="AJ18" i="1"/>
  <c r="AI18" i="1"/>
  <c r="AH18" i="1"/>
  <c r="G18" i="1"/>
  <c r="B18" i="1"/>
  <c r="A18" i="1" s="1"/>
  <c r="AU17" i="1"/>
  <c r="AL17" i="1"/>
  <c r="AK17" i="1"/>
  <c r="AJ17" i="1"/>
  <c r="AI17" i="1"/>
  <c r="AH17" i="1"/>
  <c r="G17" i="1"/>
  <c r="B17" i="1"/>
  <c r="A17" i="1" s="1"/>
  <c r="AU16" i="1"/>
  <c r="AL16" i="1"/>
  <c r="AK16" i="1"/>
  <c r="AJ16" i="1"/>
  <c r="AI16" i="1"/>
  <c r="AH16" i="1"/>
  <c r="G16" i="1"/>
  <c r="B16" i="1"/>
  <c r="A16" i="1" s="1"/>
  <c r="AU15" i="1"/>
  <c r="AL15" i="1"/>
  <c r="AK15" i="1"/>
  <c r="AJ15" i="1"/>
  <c r="AI15" i="1"/>
  <c r="AH15" i="1"/>
  <c r="G15" i="1"/>
  <c r="B15" i="1"/>
  <c r="A15" i="1" s="1"/>
  <c r="AU14" i="1"/>
  <c r="AL14" i="1"/>
  <c r="AK14" i="1"/>
  <c r="AJ14" i="1"/>
  <c r="AI14" i="1"/>
  <c r="AH14" i="1"/>
  <c r="G14" i="1"/>
  <c r="B14" i="1"/>
  <c r="A14" i="1" s="1"/>
  <c r="AU13" i="1"/>
  <c r="AL13" i="1"/>
  <c r="AK13" i="1"/>
  <c r="AJ13" i="1"/>
  <c r="AI13" i="1"/>
  <c r="AH13" i="1"/>
  <c r="G13" i="1"/>
  <c r="B13" i="1"/>
  <c r="A13" i="1" s="1"/>
  <c r="AU12" i="1"/>
  <c r="AL12" i="1"/>
  <c r="AK12" i="1"/>
  <c r="AJ12" i="1"/>
  <c r="AI12" i="1"/>
  <c r="AH12" i="1"/>
  <c r="G12" i="1"/>
  <c r="B12" i="1"/>
  <c r="A12" i="1" s="1"/>
  <c r="AU11" i="1"/>
  <c r="AL11" i="1"/>
  <c r="AK11" i="1"/>
  <c r="AJ11" i="1"/>
  <c r="AI11" i="1"/>
  <c r="AH11" i="1"/>
  <c r="G11" i="1"/>
  <c r="B11" i="1"/>
  <c r="A11" i="1" s="1"/>
  <c r="AU10" i="1"/>
  <c r="AL10" i="1"/>
  <c r="AK10" i="1"/>
  <c r="AJ10" i="1"/>
  <c r="AI10" i="1"/>
  <c r="AH10" i="1"/>
  <c r="G10" i="1"/>
  <c r="B10" i="1"/>
  <c r="A10" i="1" s="1"/>
  <c r="AU9" i="1"/>
  <c r="AL9" i="1"/>
  <c r="AK9" i="1"/>
  <c r="AJ9" i="1"/>
  <c r="AI9" i="1"/>
  <c r="AH9" i="1"/>
  <c r="G9" i="1"/>
  <c r="B9" i="1"/>
  <c r="A9" i="1" s="1"/>
  <c r="AU8" i="1"/>
  <c r="AL8" i="1"/>
  <c r="AK8" i="1"/>
  <c r="AJ8" i="1"/>
  <c r="AI8" i="1"/>
  <c r="AH8" i="1"/>
  <c r="G8" i="1"/>
  <c r="B8" i="1"/>
  <c r="A8" i="1" s="1"/>
  <c r="AU7" i="1"/>
  <c r="AL7" i="1"/>
  <c r="AK7" i="1"/>
  <c r="AJ7" i="1"/>
  <c r="AI7" i="1"/>
  <c r="AH7" i="1"/>
  <c r="G7" i="1"/>
  <c r="B7" i="1"/>
  <c r="A7" i="1" s="1"/>
  <c r="AU6" i="1"/>
  <c r="AL6" i="1"/>
  <c r="AK6" i="1"/>
  <c r="AJ6" i="1"/>
  <c r="AI6" i="1"/>
  <c r="AH6" i="1"/>
  <c r="B6" i="1"/>
  <c r="A6" i="1" s="1"/>
  <c r="AU5" i="1"/>
  <c r="AL5" i="1"/>
  <c r="AK5" i="1"/>
  <c r="AJ5" i="1"/>
  <c r="AI5" i="1"/>
  <c r="AH5" i="1"/>
  <c r="G5" i="1"/>
  <c r="B5" i="1"/>
  <c r="A5" i="1" s="1"/>
  <c r="AU4" i="1"/>
  <c r="AL4" i="1"/>
  <c r="AK4" i="1"/>
  <c r="AJ4" i="1"/>
  <c r="AI4" i="1"/>
  <c r="AH4" i="1"/>
  <c r="G4" i="1"/>
  <c r="B4" i="1"/>
  <c r="A4" i="1" s="1"/>
  <c r="AU3" i="1"/>
  <c r="AL3" i="1"/>
  <c r="AK3" i="1"/>
  <c r="AJ3" i="1"/>
  <c r="AI3" i="1"/>
  <c r="AH3" i="1"/>
  <c r="G3" i="1"/>
  <c r="X16" i="4" s="1"/>
  <c r="B3" i="1"/>
  <c r="A3" i="1" s="1"/>
  <c r="D6" i="28"/>
  <c r="AG544" i="1" l="1"/>
  <c r="AG532" i="1"/>
  <c r="AG520" i="1"/>
  <c r="AG508" i="1"/>
  <c r="AG496" i="1"/>
  <c r="AG484" i="1"/>
  <c r="AG472" i="1"/>
  <c r="AG460" i="1"/>
  <c r="AG448" i="1"/>
  <c r="AG436" i="1"/>
  <c r="AG424" i="1"/>
  <c r="AG412" i="1"/>
  <c r="AG400" i="1"/>
  <c r="AG388" i="1"/>
  <c r="AG376" i="1"/>
  <c r="AG364" i="1"/>
  <c r="AG352" i="1"/>
  <c r="AG340" i="1"/>
  <c r="AG328" i="1"/>
  <c r="AG316" i="1"/>
  <c r="AG304" i="1"/>
  <c r="AG292" i="1"/>
  <c r="AG280" i="1"/>
  <c r="AG268" i="1"/>
  <c r="AG256" i="1"/>
  <c r="AG244" i="1"/>
  <c r="AG232" i="1"/>
  <c r="AG220" i="1"/>
  <c r="AG208" i="1"/>
  <c r="AG196" i="1"/>
  <c r="AG184" i="1"/>
  <c r="AG172" i="1"/>
  <c r="AG160" i="1"/>
  <c r="AG148" i="1"/>
  <c r="AG136" i="1"/>
  <c r="AG123" i="1"/>
  <c r="AG111" i="1"/>
  <c r="AG546" i="1"/>
  <c r="AG534" i="1"/>
  <c r="AG522" i="1"/>
  <c r="AG510" i="1"/>
  <c r="AG498" i="1"/>
  <c r="AG486" i="1"/>
  <c r="AG474" i="1"/>
  <c r="AG462" i="1"/>
  <c r="AG450" i="1"/>
  <c r="AG438" i="1"/>
  <c r="AG426" i="1"/>
  <c r="AG414" i="1"/>
  <c r="AG402" i="1"/>
  <c r="AG390" i="1"/>
  <c r="AG378" i="1"/>
  <c r="AG366" i="1"/>
  <c r="AG354" i="1"/>
  <c r="AG342" i="1"/>
  <c r="AG330" i="1"/>
  <c r="AG318" i="1"/>
  <c r="AG306" i="1"/>
  <c r="AG294" i="1"/>
  <c r="AG282" i="1"/>
  <c r="AG270" i="1"/>
  <c r="AG258" i="1"/>
  <c r="AG246" i="1"/>
  <c r="AG234" i="1"/>
  <c r="AG222" i="1"/>
  <c r="AG210" i="1"/>
  <c r="AG198" i="1"/>
  <c r="AG186" i="1"/>
  <c r="AG174" i="1"/>
  <c r="AG162" i="1"/>
  <c r="AG150" i="1"/>
  <c r="AG138" i="1"/>
  <c r="AG125" i="1"/>
  <c r="AG113" i="1"/>
  <c r="AG101" i="1"/>
  <c r="AG99" i="1"/>
  <c r="AG87" i="1"/>
  <c r="AG75" i="1"/>
  <c r="AG63" i="1"/>
  <c r="AG51" i="1"/>
  <c r="AG39" i="1"/>
  <c r="AG27" i="1"/>
  <c r="AG15" i="1"/>
  <c r="C38" i="1"/>
  <c r="A38" i="1"/>
  <c r="C69" i="1"/>
  <c r="A69" i="1"/>
  <c r="C88" i="1"/>
  <c r="C92" i="1"/>
  <c r="C267" i="1"/>
  <c r="C303" i="1"/>
  <c r="C315" i="1"/>
  <c r="C327" i="1"/>
  <c r="C335" i="1"/>
  <c r="C359" i="1"/>
  <c r="C375" i="1"/>
  <c r="C399" i="1"/>
  <c r="C419" i="1"/>
  <c r="C421" i="1"/>
  <c r="C453" i="1"/>
  <c r="C457" i="1"/>
  <c r="C461" i="1"/>
  <c r="C62" i="1"/>
  <c r="A62" i="1"/>
  <c r="C74" i="1"/>
  <c r="C110" i="1"/>
  <c r="C122" i="1"/>
  <c r="C135" i="1"/>
  <c r="C148" i="1"/>
  <c r="C171" i="1"/>
  <c r="C183" i="1"/>
  <c r="C207" i="1"/>
  <c r="C239" i="1"/>
  <c r="C255" i="1"/>
  <c r="C275" i="1"/>
  <c r="C291" i="1"/>
  <c r="C407" i="1"/>
  <c r="C411" i="1"/>
  <c r="C413" i="1"/>
  <c r="C431" i="1"/>
  <c r="C435" i="1"/>
  <c r="C479" i="1"/>
  <c r="C483" i="1"/>
  <c r="C487" i="1"/>
  <c r="C493" i="1"/>
  <c r="C494" i="1"/>
  <c r="C506" i="1"/>
  <c r="C507" i="1"/>
  <c r="C515" i="1"/>
  <c r="C517" i="1"/>
  <c r="C519" i="1"/>
  <c r="C526" i="1"/>
  <c r="C529" i="1"/>
  <c r="C534" i="1"/>
  <c r="C537" i="1"/>
  <c r="C546" i="1"/>
  <c r="C50" i="1"/>
  <c r="A50" i="1"/>
  <c r="C96" i="1"/>
  <c r="C100" i="1"/>
  <c r="C136" i="1"/>
  <c r="C227" i="1"/>
  <c r="C311" i="1"/>
  <c r="C323" i="1"/>
  <c r="C339" i="1"/>
  <c r="C351" i="1"/>
  <c r="C363" i="1"/>
  <c r="C371" i="1"/>
  <c r="C383" i="1"/>
  <c r="C387" i="1"/>
  <c r="C433" i="1"/>
  <c r="C459" i="1"/>
  <c r="C471" i="1"/>
  <c r="C478" i="1"/>
  <c r="C489" i="1"/>
  <c r="C503" i="1"/>
  <c r="C522" i="1"/>
  <c r="C525" i="1"/>
  <c r="C531" i="1"/>
  <c r="C542" i="1"/>
  <c r="C549" i="1"/>
  <c r="C551" i="1"/>
  <c r="C552" i="1"/>
  <c r="C26" i="1"/>
  <c r="A26" i="1"/>
  <c r="C32" i="1"/>
  <c r="A32" i="1"/>
  <c r="C86" i="1"/>
  <c r="C98" i="1"/>
  <c r="C140" i="1"/>
  <c r="C144" i="1"/>
  <c r="C147" i="1"/>
  <c r="C159" i="1"/>
  <c r="C195" i="1"/>
  <c r="C219" i="1"/>
  <c r="C243" i="1"/>
  <c r="C263" i="1"/>
  <c r="C279" i="1"/>
  <c r="C287" i="1"/>
  <c r="C346" i="1"/>
  <c r="C350" i="1"/>
  <c r="C365" i="1"/>
  <c r="C409" i="1"/>
  <c r="C423" i="1"/>
  <c r="C429" i="1"/>
  <c r="C447" i="1"/>
  <c r="C455" i="1"/>
  <c r="C467" i="1"/>
  <c r="C469" i="1"/>
  <c r="C482" i="1"/>
  <c r="C490" i="1"/>
  <c r="C495" i="1"/>
  <c r="C505" i="1"/>
  <c r="C509" i="1"/>
  <c r="C511" i="1"/>
  <c r="C514" i="1"/>
  <c r="C518" i="1"/>
  <c r="C527" i="1"/>
  <c r="C530" i="1"/>
  <c r="C533" i="1"/>
  <c r="C535" i="1"/>
  <c r="C538" i="1"/>
  <c r="C541" i="1"/>
  <c r="C543" i="1"/>
  <c r="AG89" i="1"/>
  <c r="AG550" i="1"/>
  <c r="AG538" i="1"/>
  <c r="AG547" i="1"/>
  <c r="AG535" i="1"/>
  <c r="AG523" i="1"/>
  <c r="AG511" i="1"/>
  <c r="AG499" i="1"/>
  <c r="AG487" i="1"/>
  <c r="AG475" i="1"/>
  <c r="AG463" i="1"/>
  <c r="AG451" i="1"/>
  <c r="AG439" i="1"/>
  <c r="AG427" i="1"/>
  <c r="AG415" i="1"/>
  <c r="AG403" i="1"/>
  <c r="AG391" i="1"/>
  <c r="AG379" i="1"/>
  <c r="AG367" i="1"/>
  <c r="AG355" i="1"/>
  <c r="AG343" i="1"/>
  <c r="AG331" i="1"/>
  <c r="AG319" i="1"/>
  <c r="AG307" i="1"/>
  <c r="AG295" i="1"/>
  <c r="AG283" i="1"/>
  <c r="AG271" i="1"/>
  <c r="AG259" i="1"/>
  <c r="AG247" i="1"/>
  <c r="AG235" i="1"/>
  <c r="AG223" i="1"/>
  <c r="AG211" i="1"/>
  <c r="AG199" i="1"/>
  <c r="AG187" i="1"/>
  <c r="AG175" i="1"/>
  <c r="AG163" i="1"/>
  <c r="AG151" i="1"/>
  <c r="AG139" i="1"/>
  <c r="AG126" i="1"/>
  <c r="AG114" i="1"/>
  <c r="AG102" i="1"/>
  <c r="AG90" i="1"/>
  <c r="AG78" i="1"/>
  <c r="AG66" i="1"/>
  <c r="AG545" i="1"/>
  <c r="AG533" i="1"/>
  <c r="AG521" i="1"/>
  <c r="AG509" i="1"/>
  <c r="AG497" i="1"/>
  <c r="AG485" i="1"/>
  <c r="AG473" i="1"/>
  <c r="AG461" i="1"/>
  <c r="AG449" i="1"/>
  <c r="AG437" i="1"/>
  <c r="AG425" i="1"/>
  <c r="AG413" i="1"/>
  <c r="AG401" i="1"/>
  <c r="AG389" i="1"/>
  <c r="AG377" i="1"/>
  <c r="AG365" i="1"/>
  <c r="AG353" i="1"/>
  <c r="AG341" i="1"/>
  <c r="AG329" i="1"/>
  <c r="AG317" i="1"/>
  <c r="AG305" i="1"/>
  <c r="AG293" i="1"/>
  <c r="AG281" i="1"/>
  <c r="AG269" i="1"/>
  <c r="AG257" i="1"/>
  <c r="AG245" i="1"/>
  <c r="AG233" i="1"/>
  <c r="AG221" i="1"/>
  <c r="AG209" i="1"/>
  <c r="AG197" i="1"/>
  <c r="AG185" i="1"/>
  <c r="AG173" i="1"/>
  <c r="AG161" i="1"/>
  <c r="AG149" i="1"/>
  <c r="AG137" i="1"/>
  <c r="AG124" i="1"/>
  <c r="AG112" i="1"/>
  <c r="AG100" i="1"/>
  <c r="AG88" i="1"/>
  <c r="AG76" i="1"/>
  <c r="AG542" i="1"/>
  <c r="AG530" i="1"/>
  <c r="AG518" i="1"/>
  <c r="AG506" i="1"/>
  <c r="AG494" i="1"/>
  <c r="AG482" i="1"/>
  <c r="AG470" i="1"/>
  <c r="AG458" i="1"/>
  <c r="AG446" i="1"/>
  <c r="AG434" i="1"/>
  <c r="AG422" i="1"/>
  <c r="AG410" i="1"/>
  <c r="AG398" i="1"/>
  <c r="AG386" i="1"/>
  <c r="AG374" i="1"/>
  <c r="AG362" i="1"/>
  <c r="AG350" i="1"/>
  <c r="AG338" i="1"/>
  <c r="AG326" i="1"/>
  <c r="AG314" i="1"/>
  <c r="AG302" i="1"/>
  <c r="AG290" i="1"/>
  <c r="AG278" i="1"/>
  <c r="AG266" i="1"/>
  <c r="AG254" i="1"/>
  <c r="AG242" i="1"/>
  <c r="AG230" i="1"/>
  <c r="AG218" i="1"/>
  <c r="AG206" i="1"/>
  <c r="AG194" i="1"/>
  <c r="AG182" i="1"/>
  <c r="AG170" i="1"/>
  <c r="AG158" i="1"/>
  <c r="AG146" i="1"/>
  <c r="AG134" i="1"/>
  <c r="AG121" i="1"/>
  <c r="AG526" i="1"/>
  <c r="AG514" i="1"/>
  <c r="AG502" i="1"/>
  <c r="AG490" i="1"/>
  <c r="AG478" i="1"/>
  <c r="AG466" i="1"/>
  <c r="AG454" i="1"/>
  <c r="AG442" i="1"/>
  <c r="AG430" i="1"/>
  <c r="AG418" i="1"/>
  <c r="AG406" i="1"/>
  <c r="AG394" i="1"/>
  <c r="AG382" i="1"/>
  <c r="AG370" i="1"/>
  <c r="AG358" i="1"/>
  <c r="AG346" i="1"/>
  <c r="AG334" i="1"/>
  <c r="AG322" i="1"/>
  <c r="AG310" i="1"/>
  <c r="AG298" i="1"/>
  <c r="AG286" i="1"/>
  <c r="AG274" i="1"/>
  <c r="AG262" i="1"/>
  <c r="AG250" i="1"/>
  <c r="AG238" i="1"/>
  <c r="AG226" i="1"/>
  <c r="AG214" i="1"/>
  <c r="AG202" i="1"/>
  <c r="AG190" i="1"/>
  <c r="AG178" i="1"/>
  <c r="AG166" i="1"/>
  <c r="AG154" i="1"/>
  <c r="AG142" i="1"/>
  <c r="AG130" i="1"/>
  <c r="AG117" i="1"/>
  <c r="AG105" i="1"/>
  <c r="AG93" i="1"/>
  <c r="AG81" i="1"/>
  <c r="AG69" i="1"/>
  <c r="AG57" i="1"/>
  <c r="AG45" i="1"/>
  <c r="AG33" i="1"/>
  <c r="AG21" i="1"/>
  <c r="AG5" i="1"/>
  <c r="AG541" i="1"/>
  <c r="AG529" i="1"/>
  <c r="AG517" i="1"/>
  <c r="AG505" i="1"/>
  <c r="AG493" i="1"/>
  <c r="AG481" i="1"/>
  <c r="AG469" i="1"/>
  <c r="AG457" i="1"/>
  <c r="AG445" i="1"/>
  <c r="AG433" i="1"/>
  <c r="AG421" i="1"/>
  <c r="AG409" i="1"/>
  <c r="AG397" i="1"/>
  <c r="AG385" i="1"/>
  <c r="AG373" i="1"/>
  <c r="AG361" i="1"/>
  <c r="AG349" i="1"/>
  <c r="AG337" i="1"/>
  <c r="AG325" i="1"/>
  <c r="AG313" i="1"/>
  <c r="AG301" i="1"/>
  <c r="AG289" i="1"/>
  <c r="AG277" i="1"/>
  <c r="AG265" i="1"/>
  <c r="AG253" i="1"/>
  <c r="AG241" i="1"/>
  <c r="AG229" i="1"/>
  <c r="AG217" i="1"/>
  <c r="AG205" i="1"/>
  <c r="AG193" i="1"/>
  <c r="AG181" i="1"/>
  <c r="AG169" i="1"/>
  <c r="AG157" i="1"/>
  <c r="AG145" i="1"/>
  <c r="AG133" i="1"/>
  <c r="AG120" i="1"/>
  <c r="AG108" i="1"/>
  <c r="AG96" i="1"/>
  <c r="AG84" i="1"/>
  <c r="AG72" i="1"/>
  <c r="AG60" i="1"/>
  <c r="AG549" i="1"/>
  <c r="AG537" i="1"/>
  <c r="AG525" i="1"/>
  <c r="AG513" i="1"/>
  <c r="AG501" i="1"/>
  <c r="AG489" i="1"/>
  <c r="AG477" i="1"/>
  <c r="AG465" i="1"/>
  <c r="AG453" i="1"/>
  <c r="AG441" i="1"/>
  <c r="AG429" i="1"/>
  <c r="AG417" i="1"/>
  <c r="AG405" i="1"/>
  <c r="AG393" i="1"/>
  <c r="AG381" i="1"/>
  <c r="AG369" i="1"/>
  <c r="AG357" i="1"/>
  <c r="AG345" i="1"/>
  <c r="AG333" i="1"/>
  <c r="AG321" i="1"/>
  <c r="AG309" i="1"/>
  <c r="AG297" i="1"/>
  <c r="AG285" i="1"/>
  <c r="AG273" i="1"/>
  <c r="AG261" i="1"/>
  <c r="AG249" i="1"/>
  <c r="AG237" i="1"/>
  <c r="AG225" i="1"/>
  <c r="AG213" i="1"/>
  <c r="AG201" i="1"/>
  <c r="AG189" i="1"/>
  <c r="AG177" i="1"/>
  <c r="AG165" i="1"/>
  <c r="AG153" i="1"/>
  <c r="AG141" i="1"/>
  <c r="AG129" i="1"/>
  <c r="AG116" i="1"/>
  <c r="AG104" i="1"/>
  <c r="AG92" i="1"/>
  <c r="AG80" i="1"/>
  <c r="AG68" i="1"/>
  <c r="AG56" i="1"/>
  <c r="AG44" i="1"/>
  <c r="AG32" i="1"/>
  <c r="AG20" i="1"/>
  <c r="AG4" i="1"/>
  <c r="AG552" i="1"/>
  <c r="AG540" i="1"/>
  <c r="AG528" i="1"/>
  <c r="AG516" i="1"/>
  <c r="AG504" i="1"/>
  <c r="AG548" i="1"/>
  <c r="AG536" i="1"/>
  <c r="AG524" i="1"/>
  <c r="AG512" i="1"/>
  <c r="AG500" i="1"/>
  <c r="AG488" i="1"/>
  <c r="AG54" i="1"/>
  <c r="AG42" i="1"/>
  <c r="AG30" i="1"/>
  <c r="AG18" i="1"/>
  <c r="AG77" i="1"/>
  <c r="AG65" i="1"/>
  <c r="AG53" i="1"/>
  <c r="AG41" i="1"/>
  <c r="AG29" i="1"/>
  <c r="AG17" i="1"/>
  <c r="AG64" i="1"/>
  <c r="AG52" i="1"/>
  <c r="AG40" i="1"/>
  <c r="AG28" i="1"/>
  <c r="AG16" i="1"/>
  <c r="AG543" i="1"/>
  <c r="AG531" i="1"/>
  <c r="AG519" i="1"/>
  <c r="AG507" i="1"/>
  <c r="AG495" i="1"/>
  <c r="AG483" i="1"/>
  <c r="AG471" i="1"/>
  <c r="AG459" i="1"/>
  <c r="AG447" i="1"/>
  <c r="AG435" i="1"/>
  <c r="AG423" i="1"/>
  <c r="AG411" i="1"/>
  <c r="AG399" i="1"/>
  <c r="AG387" i="1"/>
  <c r="AG375" i="1"/>
  <c r="AG363" i="1"/>
  <c r="AG351" i="1"/>
  <c r="AG339" i="1"/>
  <c r="AG327" i="1"/>
  <c r="AG315" i="1"/>
  <c r="AG303" i="1"/>
  <c r="AG291" i="1"/>
  <c r="AG279" i="1"/>
  <c r="AG267" i="1"/>
  <c r="AG255" i="1"/>
  <c r="AG243" i="1"/>
  <c r="AG231" i="1"/>
  <c r="AG219" i="1"/>
  <c r="AG207" i="1"/>
  <c r="AG195" i="1"/>
  <c r="AG183" i="1"/>
  <c r="AG171" i="1"/>
  <c r="AG159" i="1"/>
  <c r="AG147" i="1"/>
  <c r="AG135" i="1"/>
  <c r="AG122" i="1"/>
  <c r="AG110" i="1"/>
  <c r="AG98" i="1"/>
  <c r="AG86" i="1"/>
  <c r="AG74" i="1"/>
  <c r="AG62" i="1"/>
  <c r="AG50" i="1"/>
  <c r="AG38" i="1"/>
  <c r="AG26" i="1"/>
  <c r="AG14" i="1"/>
  <c r="AG109" i="1"/>
  <c r="AG97" i="1"/>
  <c r="AG85" i="1"/>
  <c r="AG73" i="1"/>
  <c r="AG61" i="1"/>
  <c r="AG49" i="1"/>
  <c r="AG37" i="1"/>
  <c r="AG25" i="1"/>
  <c r="AG13" i="1"/>
  <c r="AG48" i="1"/>
  <c r="AG36" i="1"/>
  <c r="AG24" i="1"/>
  <c r="AG12" i="1"/>
  <c r="AG492" i="1"/>
  <c r="AG480" i="1"/>
  <c r="AG468" i="1"/>
  <c r="AG456" i="1"/>
  <c r="AG444" i="1"/>
  <c r="AG432" i="1"/>
  <c r="AG420" i="1"/>
  <c r="AG408" i="1"/>
  <c r="AG396" i="1"/>
  <c r="AG384" i="1"/>
  <c r="AG372" i="1"/>
  <c r="AG360" i="1"/>
  <c r="AG348" i="1"/>
  <c r="AG336" i="1"/>
  <c r="AG324" i="1"/>
  <c r="AG312" i="1"/>
  <c r="AG300" i="1"/>
  <c r="AG288" i="1"/>
  <c r="AG276" i="1"/>
  <c r="AG264" i="1"/>
  <c r="AG252" i="1"/>
  <c r="AG240" i="1"/>
  <c r="AG228" i="1"/>
  <c r="AG216" i="1"/>
  <c r="AG204" i="1"/>
  <c r="AG192" i="1"/>
  <c r="AG180" i="1"/>
  <c r="AG168" i="1"/>
  <c r="AG156" i="1"/>
  <c r="AG144" i="1"/>
  <c r="AG132" i="1"/>
  <c r="AG119" i="1"/>
  <c r="AG107" i="1"/>
  <c r="AG95" i="1"/>
  <c r="AG83" i="1"/>
  <c r="AG71" i="1"/>
  <c r="AG59" i="1"/>
  <c r="AG47" i="1"/>
  <c r="AG35" i="1"/>
  <c r="AG23" i="1"/>
  <c r="AG11" i="1"/>
  <c r="AG476" i="1"/>
  <c r="AG464" i="1"/>
  <c r="AG452" i="1"/>
  <c r="AG440" i="1"/>
  <c r="AG428" i="1"/>
  <c r="AG416" i="1"/>
  <c r="AG404" i="1"/>
  <c r="AG392" i="1"/>
  <c r="AG380" i="1"/>
  <c r="AG368" i="1"/>
  <c r="AG356" i="1"/>
  <c r="AG344" i="1"/>
  <c r="AG332" i="1"/>
  <c r="AG320" i="1"/>
  <c r="AG308" i="1"/>
  <c r="AG296" i="1"/>
  <c r="AG284" i="1"/>
  <c r="AG272" i="1"/>
  <c r="AG260" i="1"/>
  <c r="AG248" i="1"/>
  <c r="AG236" i="1"/>
  <c r="AG224" i="1"/>
  <c r="AG212" i="1"/>
  <c r="AG200" i="1"/>
  <c r="AG188" i="1"/>
  <c r="AG176" i="1"/>
  <c r="AG164" i="1"/>
  <c r="AG152" i="1"/>
  <c r="AG140" i="1"/>
  <c r="AG127" i="1"/>
  <c r="AG115" i="1"/>
  <c r="AG103" i="1"/>
  <c r="AG91" i="1"/>
  <c r="AG79" i="1"/>
  <c r="AG67" i="1"/>
  <c r="AG55" i="1"/>
  <c r="AG43" i="1"/>
  <c r="AG31" i="1"/>
  <c r="AG19" i="1"/>
  <c r="AG551" i="1"/>
  <c r="AG539" i="1"/>
  <c r="AG527" i="1"/>
  <c r="AG515" i="1"/>
  <c r="AG503" i="1"/>
  <c r="AG491" i="1"/>
  <c r="AG479" i="1"/>
  <c r="AG467" i="1"/>
  <c r="AG455" i="1"/>
  <c r="AG443" i="1"/>
  <c r="AG431" i="1"/>
  <c r="AG419" i="1"/>
  <c r="AG407" i="1"/>
  <c r="AG395" i="1"/>
  <c r="AG383" i="1"/>
  <c r="AG371" i="1"/>
  <c r="AG359" i="1"/>
  <c r="AG347" i="1"/>
  <c r="AG335" i="1"/>
  <c r="AG323" i="1"/>
  <c r="AG311" i="1"/>
  <c r="AG299" i="1"/>
  <c r="AG287" i="1"/>
  <c r="AG275" i="1"/>
  <c r="AG263" i="1"/>
  <c r="AG251" i="1"/>
  <c r="AG239" i="1"/>
  <c r="AG227" i="1"/>
  <c r="AG215" i="1"/>
  <c r="AG203" i="1"/>
  <c r="AG191" i="1"/>
  <c r="AG179" i="1"/>
  <c r="AG167" i="1"/>
  <c r="AG155" i="1"/>
  <c r="AG143" i="1"/>
  <c r="AG131" i="1"/>
  <c r="AG118" i="1"/>
  <c r="AG106" i="1"/>
  <c r="AG94" i="1"/>
  <c r="AG82" i="1"/>
  <c r="AG70" i="1"/>
  <c r="AG58" i="1"/>
  <c r="AG46" i="1"/>
  <c r="AG34" i="1"/>
  <c r="AG22" i="1"/>
  <c r="AG10" i="1"/>
  <c r="AG9" i="1"/>
  <c r="AG8" i="1"/>
  <c r="AG7" i="1"/>
  <c r="AG6" i="1"/>
  <c r="AG3" i="1"/>
  <c r="C80" i="1"/>
  <c r="C84" i="1"/>
  <c r="C39" i="1"/>
  <c r="C156" i="1"/>
  <c r="C176" i="1"/>
  <c r="C188" i="1"/>
  <c r="C204" i="1"/>
  <c r="C208" i="1"/>
  <c r="C216" i="1"/>
  <c r="C220" i="1"/>
  <c r="C354" i="1"/>
  <c r="C373" i="1"/>
  <c r="C391" i="1"/>
  <c r="C402" i="1"/>
  <c r="C437" i="1"/>
  <c r="C112" i="1"/>
  <c r="C180" i="1"/>
  <c r="C196" i="1"/>
  <c r="C3" i="1"/>
  <c r="C33" i="1"/>
  <c r="C46" i="1"/>
  <c r="C58" i="1"/>
  <c r="C120" i="1"/>
  <c r="C124" i="1"/>
  <c r="C129" i="1"/>
  <c r="C362" i="1"/>
  <c r="C441" i="1"/>
  <c r="C445" i="1"/>
  <c r="C449" i="1"/>
  <c r="C477" i="1"/>
  <c r="C481" i="1"/>
  <c r="C164" i="1"/>
  <c r="C172" i="1"/>
  <c r="C184" i="1"/>
  <c r="C192" i="1"/>
  <c r="C40" i="1"/>
  <c r="C52" i="1"/>
  <c r="C64" i="1"/>
  <c r="C77" i="1"/>
  <c r="C4" i="1"/>
  <c r="C34" i="1"/>
  <c r="C81" i="1"/>
  <c r="C85" i="1"/>
  <c r="C97" i="1"/>
  <c r="C101" i="1"/>
  <c r="C133" i="1"/>
  <c r="C137" i="1"/>
  <c r="C141" i="1"/>
  <c r="C145" i="1"/>
  <c r="C343" i="1"/>
  <c r="C370" i="1"/>
  <c r="C381" i="1"/>
  <c r="C410" i="1"/>
  <c r="C418" i="1"/>
  <c r="C422" i="1"/>
  <c r="C430" i="1"/>
  <c r="C434" i="1"/>
  <c r="C47" i="1"/>
  <c r="C105" i="1"/>
  <c r="C165" i="1"/>
  <c r="C177" i="1"/>
  <c r="C213" i="1"/>
  <c r="C225" i="1"/>
  <c r="C237" i="1"/>
  <c r="C261" i="1"/>
  <c r="C297" i="1"/>
  <c r="C309" i="1"/>
  <c r="C374" i="1"/>
  <c r="C438" i="1"/>
  <c r="C497" i="1"/>
  <c r="C501" i="1"/>
  <c r="C113" i="1"/>
  <c r="C149" i="1"/>
  <c r="C157" i="1"/>
  <c r="C173" i="1"/>
  <c r="C185" i="1"/>
  <c r="C193" i="1"/>
  <c r="C209" i="1"/>
  <c r="C233" i="1"/>
  <c r="C245" i="1"/>
  <c r="C269" i="1"/>
  <c r="C285" i="1"/>
  <c r="C293" i="1"/>
  <c r="C301" i="1"/>
  <c r="C8" i="1"/>
  <c r="C10" i="1"/>
  <c r="C12" i="1"/>
  <c r="C14" i="1"/>
  <c r="C16" i="1"/>
  <c r="C18" i="1"/>
  <c r="C22" i="1"/>
  <c r="C24" i="1"/>
  <c r="C121" i="1"/>
  <c r="C130" i="1"/>
  <c r="C313" i="1"/>
  <c r="C317" i="1"/>
  <c r="C325" i="1"/>
  <c r="C385" i="1"/>
  <c r="C442" i="1"/>
  <c r="C446" i="1"/>
  <c r="C450" i="1"/>
  <c r="C458" i="1"/>
  <c r="C466" i="1"/>
  <c r="C470" i="1"/>
  <c r="C474" i="1"/>
  <c r="C45" i="1"/>
  <c r="C108" i="1"/>
  <c r="C7" i="1"/>
  <c r="C53" i="1"/>
  <c r="C109" i="1"/>
  <c r="C153" i="1"/>
  <c r="C161" i="1"/>
  <c r="C169" i="1"/>
  <c r="C181" i="1"/>
  <c r="C197" i="1"/>
  <c r="C205" i="1"/>
  <c r="C217" i="1"/>
  <c r="C229" i="1"/>
  <c r="C241" i="1"/>
  <c r="C265" i="1"/>
  <c r="C277" i="1"/>
  <c r="C289" i="1"/>
  <c r="C9" i="1"/>
  <c r="C11" i="1"/>
  <c r="C13" i="1"/>
  <c r="C15" i="1"/>
  <c r="C17" i="1"/>
  <c r="C19" i="1"/>
  <c r="C20" i="1"/>
  <c r="C23" i="1"/>
  <c r="C25" i="1"/>
  <c r="C36" i="1"/>
  <c r="C42" i="1"/>
  <c r="C48" i="1"/>
  <c r="C54" i="1"/>
  <c r="C60" i="1"/>
  <c r="C66" i="1"/>
  <c r="C78" i="1"/>
  <c r="C82" i="1"/>
  <c r="C90" i="1"/>
  <c r="C94" i="1"/>
  <c r="C102" i="1"/>
  <c r="C134" i="1"/>
  <c r="C142" i="1"/>
  <c r="C146" i="1"/>
  <c r="C333" i="1"/>
  <c r="C367" i="1"/>
  <c r="C382" i="1"/>
  <c r="C486" i="1"/>
  <c r="C59" i="1"/>
  <c r="C70" i="1"/>
  <c r="C218" i="1"/>
  <c r="C230" i="1"/>
  <c r="C274" i="1"/>
  <c r="C290" i="1"/>
  <c r="C302" i="1"/>
  <c r="C393" i="1"/>
  <c r="C498" i="1"/>
  <c r="C31" i="1"/>
  <c r="C65" i="1"/>
  <c r="C114" i="1"/>
  <c r="C210" i="1"/>
  <c r="C234" i="1"/>
  <c r="C250" i="1"/>
  <c r="C266" i="1"/>
  <c r="C282" i="1"/>
  <c r="C306" i="1"/>
  <c r="C27" i="1"/>
  <c r="C37" i="1"/>
  <c r="C43" i="1"/>
  <c r="C49" i="1"/>
  <c r="C55" i="1"/>
  <c r="C67" i="1"/>
  <c r="C118" i="1"/>
  <c r="C126" i="1"/>
  <c r="C131" i="1"/>
  <c r="C314" i="1"/>
  <c r="C322" i="1"/>
  <c r="C326" i="1"/>
  <c r="C337" i="1"/>
  <c r="C386" i="1"/>
  <c r="C397" i="1"/>
  <c r="C439" i="1"/>
  <c r="C57" i="1"/>
  <c r="C106" i="1"/>
  <c r="C158" i="1"/>
  <c r="C178" i="1"/>
  <c r="C206" i="1"/>
  <c r="C222" i="1"/>
  <c r="C254" i="1"/>
  <c r="C28" i="1"/>
  <c r="C79" i="1"/>
  <c r="C83" i="1"/>
  <c r="C87" i="1"/>
  <c r="C91" i="1"/>
  <c r="C95" i="1"/>
  <c r="C99" i="1"/>
  <c r="C139" i="1"/>
  <c r="C143" i="1"/>
  <c r="C334" i="1"/>
  <c r="C345" i="1"/>
  <c r="C349" i="1"/>
  <c r="C104" i="1"/>
  <c r="C6" i="1"/>
  <c r="C117" i="1"/>
  <c r="C71" i="1"/>
  <c r="C166" i="1"/>
  <c r="C174" i="1"/>
  <c r="C214" i="1"/>
  <c r="C258" i="1"/>
  <c r="C286" i="1"/>
  <c r="C298" i="1"/>
  <c r="C29" i="1"/>
  <c r="C44" i="1"/>
  <c r="C56" i="1"/>
  <c r="C68" i="1"/>
  <c r="C72" i="1"/>
  <c r="C103" i="1"/>
  <c r="C107" i="1"/>
  <c r="C111" i="1"/>
  <c r="C115" i="1"/>
  <c r="C151" i="1"/>
  <c r="C155" i="1"/>
  <c r="C163" i="1"/>
  <c r="C167" i="1"/>
  <c r="C175" i="1"/>
  <c r="C179" i="1"/>
  <c r="C187" i="1"/>
  <c r="C191" i="1"/>
  <c r="C199" i="1"/>
  <c r="C203" i="1"/>
  <c r="C211" i="1"/>
  <c r="C215" i="1"/>
  <c r="C223" i="1"/>
  <c r="C247" i="1"/>
  <c r="C295" i="1"/>
  <c r="C357" i="1"/>
  <c r="C394" i="1"/>
  <c r="C51" i="1"/>
  <c r="C63" i="1"/>
  <c r="C116" i="1"/>
  <c r="C152" i="1"/>
  <c r="C35" i="1"/>
  <c r="C75" i="1"/>
  <c r="C154" i="1"/>
  <c r="C162" i="1"/>
  <c r="C186" i="1"/>
  <c r="C194" i="1"/>
  <c r="C226" i="1"/>
  <c r="C246" i="1"/>
  <c r="C278" i="1"/>
  <c r="C30" i="1"/>
  <c r="C76" i="1"/>
  <c r="C119" i="1"/>
  <c r="C123" i="1"/>
  <c r="C127" i="1"/>
  <c r="C132" i="1"/>
  <c r="C338" i="1"/>
  <c r="C361" i="1"/>
  <c r="C398" i="1"/>
  <c r="C405" i="1"/>
  <c r="E9" i="14"/>
  <c r="E11" i="14"/>
  <c r="C415" i="1"/>
  <c r="E16" i="14"/>
  <c r="C378" i="1"/>
  <c r="E15" i="14"/>
  <c r="C251" i="1"/>
  <c r="E6" i="14"/>
  <c r="C389" i="1"/>
  <c r="C238" i="1"/>
  <c r="C182" i="1"/>
  <c r="E22" i="14"/>
  <c r="E21" i="14"/>
  <c r="E12" i="14"/>
  <c r="E10" i="14"/>
  <c r="E7" i="14"/>
  <c r="C200" i="1"/>
  <c r="C168" i="1"/>
  <c r="C235" i="1"/>
  <c r="C341" i="1"/>
  <c r="C41" i="1"/>
  <c r="C283" i="1"/>
  <c r="C138" i="1"/>
  <c r="E4" i="14"/>
  <c r="E5" i="14"/>
  <c r="C485" i="1"/>
  <c r="C150" i="1"/>
  <c r="C93" i="1"/>
  <c r="C545" i="1"/>
  <c r="C170" i="1"/>
  <c r="C256" i="1"/>
  <c r="C330" i="1"/>
  <c r="C401" i="1"/>
  <c r="C379" i="1"/>
  <c r="C249" i="1"/>
  <c r="C271" i="1"/>
  <c r="C305" i="1"/>
  <c r="C61" i="1"/>
  <c r="C202" i="1"/>
  <c r="C242" i="1"/>
  <c r="C125" i="1"/>
  <c r="C73" i="1"/>
  <c r="C198" i="1"/>
  <c r="C463" i="1"/>
  <c r="C319" i="1"/>
  <c r="C294" i="1"/>
  <c r="C21" i="1"/>
  <c r="C221" i="1"/>
  <c r="C331" i="1"/>
  <c r="C475" i="1"/>
  <c r="C190" i="1"/>
  <c r="C201" i="1"/>
  <c r="C353" i="1"/>
  <c r="C390" i="1"/>
  <c r="C160" i="1"/>
  <c r="C426" i="1"/>
  <c r="C189" i="1"/>
  <c r="C523" i="1"/>
  <c r="C89" i="1"/>
  <c r="C212" i="1"/>
  <c r="C257" i="1"/>
  <c r="C427" i="1"/>
  <c r="C342" i="1"/>
  <c r="C253" i="1"/>
  <c r="C231" i="1"/>
  <c r="C20" i="14"/>
  <c r="D20" i="14"/>
  <c r="E14" i="14"/>
  <c r="D8" i="14"/>
  <c r="C8" i="14"/>
  <c r="D3" i="14"/>
  <c r="C3" i="14"/>
  <c r="C358" i="1"/>
  <c r="C443" i="1"/>
  <c r="C273" i="1"/>
  <c r="C465" i="1"/>
  <c r="C236" i="1"/>
  <c r="C550" i="1"/>
  <c r="C310" i="1"/>
  <c r="C417" i="1"/>
  <c r="C395" i="1"/>
  <c r="C502" i="1"/>
  <c r="C262" i="1"/>
  <c r="C369" i="1"/>
  <c r="C347" i="1"/>
  <c r="C454" i="1"/>
  <c r="C321" i="1"/>
  <c r="C406" i="1"/>
  <c r="C299" i="1"/>
  <c r="C539" i="1"/>
  <c r="C491" i="1"/>
  <c r="C513" i="1"/>
  <c r="C292" i="1"/>
  <c r="C307" i="1"/>
  <c r="C318" i="1"/>
  <c r="C329" i="1"/>
  <c r="C340" i="1"/>
  <c r="C355" i="1"/>
  <c r="C366" i="1"/>
  <c r="C377" i="1"/>
  <c r="C388" i="1"/>
  <c r="C403" i="1"/>
  <c r="C414" i="1"/>
  <c r="C425" i="1"/>
  <c r="C436" i="1"/>
  <c r="C451" i="1"/>
  <c r="C462" i="1"/>
  <c r="C473" i="1"/>
  <c r="C484" i="1"/>
  <c r="C499" i="1"/>
  <c r="C510" i="1"/>
  <c r="C521" i="1"/>
  <c r="C532" i="1"/>
  <c r="C547" i="1"/>
  <c r="C244" i="1"/>
  <c r="C5" i="1"/>
  <c r="C259" i="1"/>
  <c r="C270" i="1"/>
  <c r="C281" i="1"/>
  <c r="C240" i="1"/>
  <c r="C288" i="1"/>
  <c r="C336" i="1"/>
  <c r="C384" i="1"/>
  <c r="C432" i="1"/>
  <c r="C480" i="1"/>
  <c r="C528" i="1"/>
  <c r="C284" i="1"/>
  <c r="C332" i="1"/>
  <c r="C380" i="1"/>
  <c r="C428" i="1"/>
  <c r="C476" i="1"/>
  <c r="C524" i="1"/>
  <c r="C232" i="1"/>
  <c r="C280" i="1"/>
  <c r="C328" i="1"/>
  <c r="C376" i="1"/>
  <c r="C424" i="1"/>
  <c r="C472" i="1"/>
  <c r="C520" i="1"/>
  <c r="C420" i="1"/>
  <c r="C468" i="1"/>
  <c r="C516" i="1"/>
  <c r="C372" i="1"/>
  <c r="C224" i="1"/>
  <c r="C272" i="1"/>
  <c r="C320" i="1"/>
  <c r="C368" i="1"/>
  <c r="C416" i="1"/>
  <c r="C464" i="1"/>
  <c r="C512" i="1"/>
  <c r="C276" i="1"/>
  <c r="C324" i="1"/>
  <c r="C268" i="1"/>
  <c r="C316" i="1"/>
  <c r="C364" i="1"/>
  <c r="C412" i="1"/>
  <c r="C460" i="1"/>
  <c r="C508" i="1"/>
  <c r="C264" i="1"/>
  <c r="C312" i="1"/>
  <c r="C360" i="1"/>
  <c r="C408" i="1"/>
  <c r="C456" i="1"/>
  <c r="C504" i="1"/>
  <c r="C500" i="1"/>
  <c r="C548" i="1"/>
  <c r="C228" i="1"/>
  <c r="C260" i="1"/>
  <c r="C308" i="1"/>
  <c r="C356" i="1"/>
  <c r="C404" i="1"/>
  <c r="C452" i="1"/>
  <c r="C544" i="1"/>
  <c r="C400" i="1"/>
  <c r="C304" i="1"/>
  <c r="C352" i="1"/>
  <c r="C448" i="1"/>
  <c r="C496" i="1"/>
  <c r="C252" i="1"/>
  <c r="C300" i="1"/>
  <c r="C348" i="1"/>
  <c r="C396" i="1"/>
  <c r="C444" i="1"/>
  <c r="C492" i="1"/>
  <c r="C540" i="1"/>
  <c r="C248" i="1"/>
  <c r="C296" i="1"/>
  <c r="C344" i="1"/>
  <c r="C392" i="1"/>
  <c r="C440" i="1"/>
  <c r="C488" i="1"/>
  <c r="C536" i="1"/>
  <c r="E13" i="14" l="1"/>
  <c r="E3" i="14"/>
  <c r="E20" i="14"/>
  <c r="E8" i="14"/>
  <c r="AQ172" i="1"/>
  <c r="AS234" i="1"/>
  <c r="AS382" i="1"/>
  <c r="AS483" i="1"/>
  <c r="AS350" i="1"/>
  <c r="AS5" i="1"/>
  <c r="AS66" i="1"/>
  <c r="AS255" i="1"/>
  <c r="AS141" i="1"/>
  <c r="AS223" i="1"/>
  <c r="AS320" i="1"/>
  <c r="AS85" i="1"/>
  <c r="AS48" i="1"/>
  <c r="AS360" i="1"/>
  <c r="AQ98" i="1"/>
  <c r="AS334" i="1"/>
  <c r="AS138" i="1"/>
  <c r="AS531" i="1"/>
  <c r="AS170" i="1"/>
  <c r="AS427" i="1"/>
  <c r="AS268" i="1"/>
  <c r="AS426" i="1"/>
  <c r="AQ84" i="1"/>
  <c r="AS358" i="1"/>
  <c r="AQ340" i="1"/>
  <c r="AQ127" i="1"/>
  <c r="AS247" i="1"/>
  <c r="AS547" i="1"/>
  <c r="AQ162" i="1"/>
  <c r="AQ329" i="1"/>
  <c r="AQ311" i="1"/>
  <c r="AQ523" i="1"/>
  <c r="AQ174" i="1"/>
  <c r="AQ275" i="1"/>
  <c r="AS423" i="1"/>
  <c r="AS397" i="1"/>
  <c r="AS391" i="1"/>
  <c r="AQ46" i="1"/>
  <c r="AQ516" i="1"/>
  <c r="AQ177" i="1"/>
  <c r="AQ124" i="1"/>
  <c r="AQ145" i="1"/>
  <c r="AQ42" i="1"/>
  <c r="AS439" i="1"/>
  <c r="AS256" i="1"/>
  <c r="AS403" i="1"/>
  <c r="AS272" i="1"/>
  <c r="AQ136" i="1"/>
  <c r="AQ498" i="1"/>
  <c r="AS144" i="1"/>
  <c r="AQ228" i="1"/>
  <c r="AS155" i="1"/>
  <c r="AS305" i="1"/>
  <c r="AS381" i="1"/>
  <c r="AS453" i="1"/>
  <c r="AQ66" i="1"/>
  <c r="AQ430" i="1"/>
  <c r="AS524" i="1"/>
  <c r="AQ88" i="1"/>
  <c r="AQ274" i="1"/>
  <c r="AQ56" i="1"/>
  <c r="AS303" i="1"/>
  <c r="AS523" i="1"/>
  <c r="AS248" i="1"/>
  <c r="AS304" i="1"/>
  <c r="AQ75" i="1"/>
  <c r="AS237" i="1"/>
  <c r="AQ166" i="1"/>
  <c r="AS95" i="1"/>
  <c r="AQ325" i="1"/>
  <c r="AQ8" i="1"/>
  <c r="AS282" i="1"/>
  <c r="AQ445" i="1"/>
  <c r="AQ39" i="1"/>
  <c r="AS356" i="1"/>
  <c r="AS493" i="1"/>
  <c r="AS202" i="1"/>
  <c r="AQ461" i="1"/>
  <c r="AQ366" i="1"/>
  <c r="AS73" i="1"/>
  <c r="AQ420" i="1"/>
  <c r="AS275" i="1"/>
  <c r="AS84" i="1"/>
  <c r="AS277" i="1"/>
  <c r="AS379" i="1"/>
  <c r="AQ463" i="1"/>
  <c r="AQ487" i="1"/>
  <c r="AS166" i="1"/>
  <c r="AS183" i="1"/>
  <c r="AS299" i="1"/>
  <c r="AQ525" i="1"/>
  <c r="AQ212" i="1"/>
  <c r="AS470" i="1"/>
  <c r="AS172" i="1"/>
  <c r="AS113" i="1"/>
  <c r="AQ209" i="1"/>
  <c r="AQ546" i="1"/>
  <c r="AQ450" i="1"/>
  <c r="AQ48" i="1"/>
  <c r="AQ201" i="1"/>
  <c r="AS552" i="1"/>
  <c r="AQ270" i="1"/>
  <c r="AS394" i="1"/>
  <c r="AS12" i="1"/>
  <c r="AS447" i="1"/>
  <c r="AS231" i="1"/>
  <c r="AS43" i="1"/>
  <c r="AQ478" i="1"/>
  <c r="AS506" i="1"/>
  <c r="AQ517" i="1"/>
  <c r="AQ173" i="1"/>
  <c r="AQ116" i="1"/>
  <c r="AQ521" i="1"/>
  <c r="AQ520" i="1"/>
  <c r="AQ286" i="1"/>
  <c r="AS332" i="1"/>
  <c r="AQ361" i="1"/>
  <c r="AQ37" i="1"/>
  <c r="AQ185" i="1"/>
  <c r="AQ157" i="1"/>
  <c r="AS364" i="1"/>
  <c r="AQ130" i="1"/>
  <c r="AQ345" i="1"/>
  <c r="AQ355" i="1"/>
  <c r="AS501" i="1"/>
  <c r="AS69" i="1"/>
  <c r="AS478" i="1"/>
  <c r="AS215" i="1"/>
  <c r="AS197" i="1"/>
  <c r="AQ148" i="1"/>
  <c r="AS201" i="1"/>
  <c r="AQ115" i="1"/>
  <c r="AQ552" i="1"/>
  <c r="AQ90" i="1"/>
  <c r="AQ504" i="1"/>
  <c r="AS373" i="1"/>
  <c r="AS118" i="1"/>
  <c r="AS421" i="1"/>
  <c r="AQ129" i="1"/>
  <c r="AQ356" i="1"/>
  <c r="AS507" i="1"/>
  <c r="AQ480" i="1"/>
  <c r="AS67" i="1"/>
  <c r="AS173" i="1"/>
  <c r="AQ335" i="1"/>
  <c r="AS344" i="1"/>
  <c r="AS107" i="1"/>
  <c r="AS497" i="1"/>
  <c r="AQ526" i="1"/>
  <c r="AS533" i="1"/>
  <c r="AS187" i="1"/>
  <c r="AS191" i="1"/>
  <c r="AS456" i="1"/>
  <c r="AS474" i="1"/>
  <c r="AQ202" i="1"/>
  <c r="AS62" i="1"/>
  <c r="AQ446" i="1"/>
  <c r="AQ94" i="1"/>
  <c r="AQ237" i="1"/>
  <c r="AQ137" i="1"/>
  <c r="AQ466" i="1"/>
  <c r="AQ150" i="1"/>
  <c r="AS64" i="1"/>
  <c r="AQ117" i="1"/>
  <c r="AS296" i="1"/>
  <c r="AQ444" i="1"/>
  <c r="AS34" i="1"/>
  <c r="AS412" i="1"/>
  <c r="AS399" i="1"/>
  <c r="AQ528" i="1"/>
  <c r="AQ114" i="1"/>
  <c r="AQ344" i="1"/>
  <c r="AS205" i="1"/>
  <c r="AS389" i="1"/>
  <c r="AS551" i="1"/>
  <c r="AQ142" i="1"/>
  <c r="AS93" i="1"/>
  <c r="AS387" i="1"/>
  <c r="AS70" i="1"/>
  <c r="AQ547" i="1"/>
  <c r="AQ59" i="1"/>
  <c r="AQ27" i="1"/>
  <c r="AS127" i="1"/>
  <c r="AS196" i="1"/>
  <c r="AS265" i="1"/>
  <c r="AS406" i="1"/>
  <c r="AQ74" i="1"/>
  <c r="AS374" i="1"/>
  <c r="AQ41" i="1"/>
  <c r="AQ190" i="1"/>
  <c r="AS291" i="1"/>
  <c r="AQ158" i="1"/>
  <c r="AQ408" i="1"/>
  <c r="AS102" i="1"/>
  <c r="AQ36" i="1"/>
  <c r="AQ43" i="1"/>
  <c r="AQ12" i="1"/>
  <c r="AQ11" i="1"/>
  <c r="AS142" i="1"/>
  <c r="AQ404" i="1"/>
  <c r="AS188" i="1"/>
  <c r="AS130" i="1"/>
  <c r="AS157" i="1"/>
  <c r="AS548" i="1"/>
  <c r="AQ491" i="1"/>
  <c r="AQ467" i="1"/>
  <c r="AS280" i="1"/>
  <c r="AS75" i="1"/>
  <c r="AS484" i="1"/>
  <c r="AQ513" i="1"/>
  <c r="AS500" i="1"/>
  <c r="AQ284" i="1"/>
  <c r="AQ279" i="1"/>
  <c r="AS396" i="1"/>
  <c r="AS498" i="1"/>
  <c r="AQ269" i="1"/>
  <c r="AQ539" i="1"/>
  <c r="AS445" i="1"/>
  <c r="AQ196" i="1"/>
  <c r="AQ324" i="1"/>
  <c r="AQ469" i="1"/>
  <c r="AQ381" i="1"/>
  <c r="AS532" i="1"/>
  <c r="AS307" i="1"/>
  <c r="AQ449" i="1"/>
  <c r="AQ141" i="1"/>
  <c r="AQ140" i="1"/>
  <c r="AS259" i="1"/>
  <c r="AQ288" i="1"/>
  <c r="AS233" i="1"/>
  <c r="AS477" i="1"/>
  <c r="AQ240" i="1"/>
  <c r="AS213" i="1"/>
  <c r="AS385" i="1"/>
  <c r="AS337" i="1"/>
  <c r="AQ489" i="1"/>
  <c r="AQ249" i="1"/>
  <c r="AS342" i="1"/>
  <c r="AS147" i="1"/>
  <c r="AS149" i="1"/>
  <c r="AS241" i="1"/>
  <c r="AQ103" i="1"/>
  <c r="AS377" i="1"/>
  <c r="AQ7" i="1"/>
  <c r="AS39" i="1"/>
  <c r="AS430" i="1"/>
  <c r="AQ367" i="1"/>
  <c r="AS452" i="1"/>
  <c r="AS495" i="1"/>
  <c r="AQ113" i="1"/>
  <c r="AS440" i="1"/>
  <c r="AQ233" i="1"/>
  <c r="AS279" i="1"/>
  <c r="AS261" i="1"/>
  <c r="AS212" i="1"/>
  <c r="AS285" i="1"/>
  <c r="AQ180" i="1"/>
  <c r="AS490" i="1"/>
  <c r="AQ224" i="1"/>
  <c r="AS249" i="1"/>
  <c r="AQ67" i="1"/>
  <c r="AS278" i="1"/>
  <c r="AS246" i="1"/>
  <c r="AS448" i="1"/>
  <c r="AQ514" i="1"/>
  <c r="AQ167" i="1"/>
  <c r="AS534" i="1"/>
  <c r="AS348" i="1"/>
  <c r="AQ134" i="1"/>
  <c r="AQ383" i="1"/>
  <c r="AQ287" i="1"/>
  <c r="AQ131" i="1"/>
  <c r="AQ409" i="1"/>
  <c r="AS4" i="1"/>
  <c r="AQ322" i="1"/>
  <c r="AS326" i="1"/>
  <c r="AQ351" i="1"/>
  <c r="AS368" i="1"/>
  <c r="AS217" i="1"/>
  <c r="AS428" i="1"/>
  <c r="AQ232" i="1"/>
  <c r="AS380" i="1"/>
  <c r="AS442" i="1"/>
  <c r="AQ348" i="1"/>
  <c r="AQ3" i="1"/>
  <c r="AS251" i="1"/>
  <c r="AQ214" i="1"/>
  <c r="AS224" i="1"/>
  <c r="AQ182" i="1"/>
  <c r="AS253" i="1"/>
  <c r="AQ439" i="1"/>
  <c r="AQ28" i="1"/>
  <c r="AQ110" i="1"/>
  <c r="AQ55" i="1"/>
  <c r="AS536" i="1"/>
  <c r="AQ534" i="1"/>
  <c r="AS317" i="1"/>
  <c r="AQ417" i="1"/>
  <c r="AS60" i="1"/>
  <c r="AQ548" i="1"/>
  <c r="AQ96" i="1"/>
  <c r="AQ121" i="1"/>
  <c r="AQ152" i="1"/>
  <c r="AQ189" i="1"/>
  <c r="AQ488" i="1"/>
  <c r="AQ125" i="1"/>
  <c r="AQ227" i="1"/>
  <c r="AQ93" i="1"/>
  <c r="AS260" i="1"/>
  <c r="AS349" i="1"/>
  <c r="AQ470" i="1"/>
  <c r="AS331" i="1"/>
  <c r="AS438" i="1"/>
  <c r="AQ176" i="1"/>
  <c r="AQ518" i="1"/>
  <c r="AS194" i="1"/>
  <c r="AQ32" i="1"/>
  <c r="AQ57" i="1"/>
  <c r="AQ87" i="1"/>
  <c r="AS471" i="1"/>
  <c r="AS372" i="1"/>
  <c r="AQ156" i="1"/>
  <c r="AS11" i="1"/>
  <c r="AQ462" i="1"/>
  <c r="AS462" i="1"/>
  <c r="AQ9" i="1"/>
  <c r="AQ17" i="1"/>
  <c r="AQ327" i="1"/>
  <c r="AQ490" i="1"/>
  <c r="AQ49" i="1"/>
  <c r="AS252" i="1"/>
  <c r="AQ533" i="1"/>
  <c r="AQ313" i="1"/>
  <c r="AQ193" i="1"/>
  <c r="AQ542" i="1"/>
  <c r="AQ268" i="1"/>
  <c r="AS21" i="1"/>
  <c r="AQ421" i="1"/>
  <c r="AS33" i="1"/>
  <c r="AS104" i="1"/>
  <c r="AQ40" i="1"/>
  <c r="AS283" i="1"/>
  <c r="AS28" i="1"/>
  <c r="AS168" i="1"/>
  <c r="AS178" i="1"/>
  <c r="AS418" i="1"/>
  <c r="AS513" i="1"/>
  <c r="AQ318" i="1"/>
  <c r="AQ497" i="1"/>
  <c r="AS96" i="1"/>
  <c r="AQ44" i="1"/>
  <c r="AQ160" i="1"/>
  <c r="AS82" i="1"/>
  <c r="AS451" i="1"/>
  <c r="AQ38" i="1"/>
  <c r="AS413" i="1"/>
  <c r="AS475" i="1"/>
  <c r="AQ132" i="1"/>
  <c r="AS310" i="1"/>
  <c r="AS200" i="1"/>
  <c r="AQ510" i="1"/>
  <c r="AQ226" i="1"/>
  <c r="AS25" i="1"/>
  <c r="AQ65" i="1"/>
  <c r="AQ501" i="1"/>
  <c r="AS98" i="1"/>
  <c r="AS71" i="1"/>
  <c r="AQ465" i="1"/>
  <c r="AS89" i="1"/>
  <c r="AS526" i="1"/>
  <c r="AS112" i="1"/>
  <c r="AS8" i="1"/>
  <c r="AQ413" i="1"/>
  <c r="AS14" i="1"/>
  <c r="AS45" i="1"/>
  <c r="AS72" i="1"/>
  <c r="AQ298" i="1"/>
  <c r="AS410" i="1"/>
  <c r="AS508" i="1"/>
  <c r="AS57" i="1"/>
  <c r="AQ102" i="1"/>
  <c r="AS59" i="1"/>
  <c r="AQ410" i="1"/>
  <c r="AS267" i="1"/>
  <c r="AS339" i="1"/>
  <c r="AS365" i="1"/>
  <c r="AS544" i="1"/>
  <c r="AS151" i="1"/>
  <c r="AS340" i="1"/>
  <c r="AS489" i="1"/>
  <c r="AS134" i="1"/>
  <c r="AQ108" i="1"/>
  <c r="AQ276" i="1"/>
  <c r="AQ250" i="1"/>
  <c r="AS24" i="1"/>
  <c r="AS429" i="1"/>
  <c r="AQ321" i="1"/>
  <c r="AS136" i="1"/>
  <c r="AS20" i="1"/>
  <c r="AS390" i="1"/>
  <c r="AQ236" i="1"/>
  <c r="AS199" i="1"/>
  <c r="AS242" i="1"/>
  <c r="AS518" i="1"/>
  <c r="AS208" i="1"/>
  <c r="AS357" i="1"/>
  <c r="AQ350" i="1"/>
  <c r="AS245" i="1"/>
  <c r="AS216" i="1"/>
  <c r="AS230" i="1"/>
  <c r="AS32" i="1"/>
  <c r="AS378" i="1"/>
  <c r="AQ412" i="1"/>
  <c r="AQ246" i="1"/>
  <c r="AQ210" i="1"/>
  <c r="AS79" i="1"/>
  <c r="AQ71" i="1"/>
  <c r="AS186" i="1"/>
  <c r="AQ468" i="1"/>
  <c r="AS87" i="1"/>
  <c r="AQ159" i="1"/>
  <c r="AS407" i="1"/>
  <c r="AQ505" i="1"/>
  <c r="AS333" i="1"/>
  <c r="AS352" i="1"/>
  <c r="AS417" i="1"/>
  <c r="AS472" i="1"/>
  <c r="AS218" i="1"/>
  <c r="AQ143" i="1"/>
  <c r="AS30" i="1"/>
  <c r="AS106" i="1"/>
  <c r="AS41" i="1"/>
  <c r="AS538" i="1"/>
  <c r="AQ452" i="1"/>
  <c r="AQ293" i="1"/>
  <c r="AS214" i="1"/>
  <c r="AQ231" i="1"/>
  <c r="AQ19" i="1"/>
  <c r="AS122" i="1"/>
  <c r="AQ222" i="1"/>
  <c r="AQ296" i="1"/>
  <c r="AQ281" i="1"/>
  <c r="AQ109" i="1"/>
  <c r="AS327" i="1"/>
  <c r="AS243" i="1"/>
  <c r="AS479" i="1"/>
  <c r="AS432" i="1"/>
  <c r="AS401" i="1"/>
  <c r="AQ347" i="1"/>
  <c r="AS288" i="1"/>
  <c r="AS97" i="1"/>
  <c r="AQ85" i="1"/>
  <c r="AQ483" i="1"/>
  <c r="AQ382" i="1"/>
  <c r="AQ341" i="1"/>
  <c r="AS535" i="1"/>
  <c r="AS325" i="1"/>
  <c r="AS367" i="1"/>
  <c r="AQ31" i="1"/>
  <c r="AQ265" i="1"/>
  <c r="AQ511" i="1"/>
  <c r="AQ291" i="1"/>
  <c r="AQ154" i="1"/>
  <c r="AS312" i="1"/>
  <c r="AS264" i="1"/>
  <c r="AQ495" i="1"/>
  <c r="AS286" i="1"/>
  <c r="AQ429" i="1"/>
  <c r="AQ218" i="1"/>
  <c r="AQ419" i="1"/>
  <c r="AQ104" i="1"/>
  <c r="AQ255" i="1"/>
  <c r="AS408" i="1"/>
  <c r="H142" i="4"/>
  <c r="AQ191" i="1"/>
  <c r="AS446" i="1"/>
  <c r="AQ492" i="1"/>
  <c r="AS476" i="1"/>
  <c r="AS443" i="1"/>
  <c r="AQ70" i="1"/>
  <c r="AQ95" i="1"/>
  <c r="AS131" i="1"/>
  <c r="AQ112" i="1"/>
  <c r="AS487" i="1"/>
  <c r="AQ192" i="1"/>
  <c r="AS512" i="1"/>
  <c r="AS185" i="1"/>
  <c r="AS308" i="1"/>
  <c r="AS184" i="1"/>
  <c r="AQ153" i="1"/>
  <c r="AQ435" i="1"/>
  <c r="AS244" i="1"/>
  <c r="AQ73" i="1"/>
  <c r="AQ24" i="1"/>
  <c r="AS182" i="1"/>
  <c r="AQ247" i="1"/>
  <c r="AQ475" i="1"/>
  <c r="AS124" i="1"/>
  <c r="AS415" i="1"/>
  <c r="AQ251" i="1"/>
  <c r="AQ300" i="1"/>
  <c r="AS226" i="1"/>
  <c r="AS295" i="1"/>
  <c r="AQ54" i="1"/>
  <c r="AS47" i="1"/>
  <c r="AQ289" i="1"/>
  <c r="AQ460" i="1"/>
  <c r="AS383" i="1"/>
  <c r="AS510" i="1"/>
  <c r="AQ551" i="1"/>
  <c r="AS284" i="1"/>
  <c r="AS207" i="1"/>
  <c r="AS402" i="1"/>
  <c r="AS76" i="1"/>
  <c r="AQ479" i="1"/>
  <c r="AQ343" i="1"/>
  <c r="AQ91" i="1"/>
  <c r="AS519" i="1"/>
  <c r="AQ155" i="1"/>
  <c r="AS209" i="1"/>
  <c r="AS132" i="1"/>
  <c r="AS19" i="1"/>
  <c r="AQ119" i="1"/>
  <c r="AQ424" i="1"/>
  <c r="AQ330" i="1"/>
  <c r="AQ433" i="1"/>
  <c r="AQ147" i="1"/>
  <c r="AS54" i="1"/>
  <c r="AS400" i="1"/>
  <c r="AS300" i="1"/>
  <c r="AQ403" i="1"/>
  <c r="AS482" i="1"/>
  <c r="AQ221" i="1"/>
  <c r="AQ524" i="1"/>
  <c r="AS392" i="1"/>
  <c r="AQ248" i="1"/>
  <c r="AS222" i="1"/>
  <c r="AQ89" i="1"/>
  <c r="AS469" i="1"/>
  <c r="AQ397" i="1"/>
  <c r="AS324" i="1"/>
  <c r="AS211" i="1"/>
  <c r="AQ64" i="1"/>
  <c r="AS321" i="1"/>
  <c r="AQ362" i="1"/>
  <c r="AQ29" i="1"/>
  <c r="AS314" i="1"/>
  <c r="AQ308" i="1"/>
  <c r="AQ184" i="1"/>
  <c r="AQ499" i="1"/>
  <c r="AS90" i="1"/>
  <c r="AQ393" i="1"/>
  <c r="AQ271" i="1"/>
  <c r="AS175" i="1"/>
  <c r="AQ536" i="1"/>
  <c r="AQ537" i="1"/>
  <c r="AS254" i="1"/>
  <c r="AQ477" i="1"/>
  <c r="AQ474" i="1"/>
  <c r="AQ380" i="1"/>
  <c r="AQ506" i="1"/>
  <c r="AS441" i="1"/>
  <c r="AQ310" i="1"/>
  <c r="AQ473" i="1"/>
  <c r="AS49" i="1"/>
  <c r="AS206" i="1"/>
  <c r="AQ363" i="1"/>
  <c r="AS159" i="1"/>
  <c r="AS486" i="1"/>
  <c r="AS437" i="1"/>
  <c r="AQ456" i="1"/>
  <c r="AQ188" i="1"/>
  <c r="AH36" i="4"/>
  <c r="B128" i="4"/>
  <c r="AS369" i="1"/>
  <c r="AQ540" i="1"/>
  <c r="AQ336" i="1"/>
  <c r="AQ457" i="1"/>
  <c r="AS145" i="1"/>
  <c r="AS363" i="1"/>
  <c r="AS323" i="1"/>
  <c r="AQ79" i="1"/>
  <c r="AS361" i="1"/>
  <c r="AQ15" i="1"/>
  <c r="AQ33" i="1"/>
  <c r="AS192" i="1"/>
  <c r="AS116" i="1"/>
  <c r="AQ386" i="1"/>
  <c r="AS63" i="1"/>
  <c r="AQ58" i="1"/>
  <c r="AS74" i="1"/>
  <c r="AQ541" i="1"/>
  <c r="AQ146" i="1"/>
  <c r="AS345" i="1"/>
  <c r="AS434" i="1"/>
  <c r="AQ315" i="1"/>
  <c r="AS42" i="1"/>
  <c r="AS165" i="1"/>
  <c r="AS347" i="1"/>
  <c r="AS198" i="1"/>
  <c r="AS540" i="1"/>
  <c r="AQ530" i="1"/>
  <c r="AQ215" i="1"/>
  <c r="AS3" i="1"/>
  <c r="AQ464" i="1"/>
  <c r="AQ194" i="1"/>
  <c r="AS152" i="1"/>
  <c r="AS119" i="1"/>
  <c r="AQ440" i="1"/>
  <c r="AQ168" i="1"/>
  <c r="AQ77" i="1"/>
  <c r="AS473" i="1"/>
  <c r="AS384" i="1"/>
  <c r="AS204" i="1"/>
  <c r="AQ283" i="1"/>
  <c r="AQ161" i="1"/>
  <c r="AS528" i="1"/>
  <c r="AS436" i="1"/>
  <c r="AQ69" i="1"/>
  <c r="AQ472" i="1"/>
  <c r="AQ346" i="1"/>
  <c r="AS101" i="1"/>
  <c r="AS86" i="1"/>
  <c r="AS386" i="1"/>
  <c r="AS161" i="1"/>
  <c r="AS193" i="1"/>
  <c r="AQ21" i="1"/>
  <c r="AQ422" i="1"/>
  <c r="AS258" i="1"/>
  <c r="AS181" i="1"/>
  <c r="AQ92" i="1"/>
  <c r="AQ200" i="1"/>
  <c r="AS176" i="1"/>
  <c r="AQ399" i="1"/>
  <c r="AQ493" i="1"/>
  <c r="AQ297" i="1"/>
  <c r="AQ26" i="1"/>
  <c r="AS38" i="1"/>
  <c r="AS466" i="1"/>
  <c r="AS263" i="1"/>
  <c r="AQ459" i="1"/>
  <c r="AS359" i="1"/>
  <c r="AS56" i="1"/>
  <c r="AQ18" i="1"/>
  <c r="AS164" i="1"/>
  <c r="AS398" i="1"/>
  <c r="AQ458" i="1"/>
  <c r="AQ314" i="1"/>
  <c r="AQ416" i="1"/>
  <c r="AQ257" i="1"/>
  <c r="AS40" i="1"/>
  <c r="AQ365" i="1"/>
  <c r="AQ352" i="1"/>
  <c r="AS232" i="1"/>
  <c r="AQ447" i="1"/>
  <c r="AQ4" i="1"/>
  <c r="AS6" i="1"/>
  <c r="AS235" i="1"/>
  <c r="AS292" i="1"/>
  <c r="AS146" i="1"/>
  <c r="AQ375" i="1"/>
  <c r="AQ423" i="1"/>
  <c r="AQ405" i="1"/>
  <c r="AS137" i="1"/>
  <c r="AQ78" i="1"/>
  <c r="AQ486" i="1"/>
  <c r="AS225" i="1"/>
  <c r="AS100" i="1"/>
  <c r="AS362" i="1"/>
  <c r="AQ299" i="1"/>
  <c r="AS449" i="1"/>
  <c r="H122" i="4"/>
  <c r="AH69" i="4"/>
  <c r="B105" i="4"/>
  <c r="B138" i="4"/>
  <c r="AS416" i="1"/>
  <c r="AQ550" i="1"/>
  <c r="AQ204" i="1"/>
  <c r="AQ241" i="1"/>
  <c r="AQ122" i="1"/>
  <c r="AQ165" i="1"/>
  <c r="AS129" i="1"/>
  <c r="AS522" i="1"/>
  <c r="AS99" i="1"/>
  <c r="AQ371" i="1"/>
  <c r="AS13" i="1"/>
  <c r="AS179" i="1"/>
  <c r="AS139" i="1"/>
  <c r="AQ326" i="1"/>
  <c r="AS15" i="1"/>
  <c r="AS511" i="1"/>
  <c r="AQ373" i="1"/>
  <c r="AQ515" i="1"/>
  <c r="AS162" i="1"/>
  <c r="AQ197" i="1"/>
  <c r="AS163" i="1"/>
  <c r="AQ72" i="1"/>
  <c r="AQ502" i="1"/>
  <c r="AQ259" i="1"/>
  <c r="AS80" i="1"/>
  <c r="AS270" i="1"/>
  <c r="AS236" i="1"/>
  <c r="AS414" i="1"/>
  <c r="AQ107" i="1"/>
  <c r="AS463" i="1"/>
  <c r="AQ364" i="1"/>
  <c r="AS330" i="1"/>
  <c r="AS219" i="1"/>
  <c r="AQ454" i="1"/>
  <c r="AQ238" i="1"/>
  <c r="AQ455" i="1"/>
  <c r="AQ302" i="1"/>
  <c r="AS371" i="1"/>
  <c r="AQ407" i="1"/>
  <c r="AS239" i="1"/>
  <c r="AS22" i="1"/>
  <c r="AQ120" i="1"/>
  <c r="AS343" i="1"/>
  <c r="AS126" i="1"/>
  <c r="AQ388" i="1"/>
  <c r="AS450" i="1"/>
  <c r="AS503" i="1"/>
  <c r="AS541" i="1"/>
  <c r="AS355" i="1"/>
  <c r="AQ277" i="1"/>
  <c r="AS537" i="1"/>
  <c r="AS492" i="1"/>
  <c r="AS271" i="1"/>
  <c r="AQ529" i="1"/>
  <c r="AS50" i="1"/>
  <c r="AQ225" i="1"/>
  <c r="AQ496" i="1"/>
  <c r="AS83" i="1"/>
  <c r="AQ385" i="1"/>
  <c r="AQ304" i="1"/>
  <c r="AQ369" i="1"/>
  <c r="AS316" i="1"/>
  <c r="AS10" i="1"/>
  <c r="AQ258" i="1"/>
  <c r="AQ425" i="1"/>
  <c r="AQ334" i="1"/>
  <c r="AQ217" i="1"/>
  <c r="AQ123" i="1"/>
  <c r="AQ208" i="1"/>
  <c r="AS289" i="1"/>
  <c r="AS319" i="1"/>
  <c r="AQ60" i="1"/>
  <c r="AS465" i="1"/>
  <c r="AQ175" i="1"/>
  <c r="AQ16" i="1"/>
  <c r="AS499" i="1"/>
  <c r="AS58" i="1"/>
  <c r="AS37" i="1"/>
  <c r="AS220" i="1"/>
  <c r="AQ171" i="1"/>
  <c r="AQ282" i="1"/>
  <c r="AS114" i="1"/>
  <c r="AS294" i="1"/>
  <c r="AS65" i="1"/>
  <c r="AQ264" i="1"/>
  <c r="AQ441" i="1"/>
  <c r="AQ377" i="1"/>
  <c r="AQ333" i="1"/>
  <c r="AQ183" i="1"/>
  <c r="AQ50" i="1"/>
  <c r="AQ13" i="1"/>
  <c r="AS514" i="1"/>
  <c r="AQ272" i="1"/>
  <c r="AS341" i="1"/>
  <c r="AQ34" i="1"/>
  <c r="AQ262" i="1"/>
  <c r="AS309" i="1"/>
  <c r="AQ199" i="1"/>
  <c r="AQ535" i="1"/>
  <c r="AQ400" i="1"/>
  <c r="AS133" i="1"/>
  <c r="AS117" i="1"/>
  <c r="AS203" i="1"/>
  <c r="AS16" i="1"/>
  <c r="AS431" i="1"/>
  <c r="AQ402" i="1"/>
  <c r="AQ395" i="1"/>
  <c r="AQ195" i="1"/>
  <c r="AS281" i="1"/>
  <c r="AS125" i="1"/>
  <c r="AS543" i="1"/>
  <c r="AQ384" i="1"/>
  <c r="AQ133" i="1"/>
  <c r="AS26" i="1"/>
  <c r="AS110" i="1"/>
  <c r="AQ10" i="1"/>
  <c r="AS160" i="1"/>
  <c r="AS53" i="1"/>
  <c r="AQ427" i="1"/>
  <c r="AQ301" i="1"/>
  <c r="AQ431" i="1"/>
  <c r="AQ219" i="1"/>
  <c r="AQ331" i="1"/>
  <c r="B61" i="4"/>
  <c r="B148" i="4"/>
  <c r="T112" i="4"/>
  <c r="AS485" i="1"/>
  <c r="AS424" i="1"/>
  <c r="AS81" i="1"/>
  <c r="AS52" i="1"/>
  <c r="AS180" i="1"/>
  <c r="AS494" i="1"/>
  <c r="AS525" i="1"/>
  <c r="AS78" i="1"/>
  <c r="AQ319" i="1"/>
  <c r="AS140" i="1"/>
  <c r="AS297" i="1"/>
  <c r="AS77" i="1"/>
  <c r="AQ105" i="1"/>
  <c r="AS505" i="1"/>
  <c r="AQ305" i="1"/>
  <c r="AQ396" i="1"/>
  <c r="AQ61" i="1"/>
  <c r="AQ45" i="1"/>
  <c r="AQ494" i="1"/>
  <c r="AS461" i="1"/>
  <c r="AS455" i="1"/>
  <c r="AQ53" i="1"/>
  <c r="AQ531" i="1"/>
  <c r="AQ81" i="1"/>
  <c r="AQ503" i="1"/>
  <c r="AS542" i="1"/>
  <c r="AH80" i="4"/>
  <c r="AS167" i="1"/>
  <c r="AQ338" i="1"/>
  <c r="AQ252" i="1"/>
  <c r="AQ295" i="1"/>
  <c r="AS36" i="1"/>
  <c r="AS504" i="1"/>
  <c r="AQ266" i="1"/>
  <c r="AS108" i="1"/>
  <c r="AS227" i="1"/>
  <c r="AS111" i="1"/>
  <c r="AQ62" i="1"/>
  <c r="AQ169" i="1"/>
  <c r="AQ358" i="1"/>
  <c r="AS153" i="1"/>
  <c r="AQ260" i="1"/>
  <c r="AQ25" i="1"/>
  <c r="AS422" i="1"/>
  <c r="AQ294" i="1"/>
  <c r="AS395" i="1"/>
  <c r="AS121" i="1"/>
  <c r="AS311" i="1"/>
  <c r="AS306" i="1"/>
  <c r="AQ111" i="1"/>
  <c r="AQ5" i="1"/>
  <c r="AQ179" i="1"/>
  <c r="AQ144" i="1"/>
  <c r="AS515" i="1"/>
  <c r="AQ378" i="1"/>
  <c r="AS539" i="1"/>
  <c r="AQ359" i="1"/>
  <c r="B76" i="4"/>
  <c r="H47" i="4"/>
  <c r="T25" i="4"/>
  <c r="AH102" i="4"/>
  <c r="AS276" i="1"/>
  <c r="AS405" i="1"/>
  <c r="AQ360" i="1"/>
  <c r="AQ328" i="1"/>
  <c r="AQ527" i="1"/>
  <c r="AS520" i="1"/>
  <c r="AQ23" i="1"/>
  <c r="AS302" i="1"/>
  <c r="AQ290" i="1"/>
  <c r="AS257" i="1"/>
  <c r="B32" i="4"/>
  <c r="T80" i="4"/>
  <c r="AQ507" i="1"/>
  <c r="AQ432" i="1"/>
  <c r="AQ401" i="1"/>
  <c r="H132" i="4"/>
  <c r="H69" i="4"/>
  <c r="AS527" i="1"/>
  <c r="AQ418" i="1"/>
  <c r="AS370" i="1"/>
  <c r="AS68" i="1"/>
  <c r="AS496" i="1"/>
  <c r="AQ186" i="1"/>
  <c r="AQ332" i="1"/>
  <c r="B118" i="4"/>
  <c r="AS109" i="1"/>
  <c r="AQ485" i="1"/>
  <c r="AS148" i="1"/>
  <c r="AQ549" i="1"/>
  <c r="AQ22" i="1"/>
  <c r="B39" i="4"/>
  <c r="AQ163" i="1"/>
  <c r="AQ368" i="1"/>
  <c r="AS123" i="1"/>
  <c r="AQ448" i="1"/>
  <c r="AS228" i="1"/>
  <c r="AQ320" i="1"/>
  <c r="AS488" i="1"/>
  <c r="B87" i="4"/>
  <c r="AS318" i="1"/>
  <c r="AS459" i="1"/>
  <c r="T36" i="4"/>
  <c r="AQ316" i="1"/>
  <c r="AQ273" i="1"/>
  <c r="AS529" i="1"/>
  <c r="AQ223" i="1"/>
  <c r="AS351" i="1"/>
  <c r="T58" i="4"/>
  <c r="AS210" i="1"/>
  <c r="AS266" i="1"/>
  <c r="AS150" i="1"/>
  <c r="AQ387" i="1"/>
  <c r="AQ451" i="1"/>
  <c r="AS457" i="1"/>
  <c r="AQ267" i="1"/>
  <c r="AS444" i="1"/>
  <c r="AQ76" i="1"/>
  <c r="T102" i="4"/>
  <c r="H58" i="4"/>
  <c r="AQ83" i="1"/>
  <c r="AQ6" i="1"/>
  <c r="AQ317" i="1"/>
  <c r="H102" i="4"/>
  <c r="AQ118" i="1"/>
  <c r="AQ239" i="1"/>
  <c r="AS346" i="1"/>
  <c r="AS91" i="1"/>
  <c r="AS250" i="1"/>
  <c r="AQ242" i="1"/>
  <c r="AQ234" i="1"/>
  <c r="AQ63" i="1"/>
  <c r="B94" i="4"/>
  <c r="AQ30" i="1"/>
  <c r="AS354" i="1"/>
  <c r="AQ349" i="1"/>
  <c r="AQ99" i="1"/>
  <c r="AQ543" i="1"/>
  <c r="T142" i="4"/>
  <c r="AS464" i="1"/>
  <c r="AQ323" i="1"/>
  <c r="AQ207" i="1"/>
  <c r="AS27" i="1"/>
  <c r="AQ390" i="1"/>
  <c r="AQ139" i="1"/>
  <c r="AS92" i="1"/>
  <c r="AQ434" i="1"/>
  <c r="AQ512" i="1"/>
  <c r="AQ372" i="1"/>
  <c r="T69" i="4"/>
  <c r="AQ20" i="1"/>
  <c r="AQ263" i="1"/>
  <c r="AS502" i="1"/>
  <c r="AQ484" i="1"/>
  <c r="AQ164" i="1"/>
  <c r="AQ389" i="1"/>
  <c r="AQ312" i="1"/>
  <c r="AS468" i="1"/>
  <c r="AS51" i="1"/>
  <c r="AS460" i="1"/>
  <c r="AQ376" i="1"/>
  <c r="AQ253" i="1"/>
  <c r="AQ106" i="1"/>
  <c r="AQ370" i="1"/>
  <c r="AS433" i="1"/>
  <c r="AQ203" i="1"/>
  <c r="AQ482" i="1"/>
  <c r="AQ307" i="1"/>
  <c r="AS156" i="1"/>
  <c r="AS55" i="1"/>
  <c r="AS17" i="1"/>
  <c r="AS154" i="1"/>
  <c r="AQ213" i="1"/>
  <c r="AQ82" i="1"/>
  <c r="AS229" i="1"/>
  <c r="AS88" i="1"/>
  <c r="AQ256" i="1"/>
  <c r="AS411" i="1"/>
  <c r="AS335" i="1"/>
  <c r="AQ436" i="1"/>
  <c r="T47" i="4"/>
  <c r="B115" i="4"/>
  <c r="AH47" i="4"/>
  <c r="B108" i="4"/>
  <c r="AS393" i="1"/>
  <c r="B145" i="4"/>
  <c r="AS189" i="1"/>
  <c r="AS454" i="1"/>
  <c r="AS420" i="1"/>
  <c r="AS143" i="1"/>
  <c r="AS521" i="1"/>
  <c r="AS313" i="1"/>
  <c r="AQ80" i="1"/>
  <c r="AQ149" i="1"/>
  <c r="AS549" i="1"/>
  <c r="AQ442" i="1"/>
  <c r="AQ453" i="1"/>
  <c r="AS301" i="1"/>
  <c r="AS269" i="1"/>
  <c r="AS105" i="1"/>
  <c r="AQ68" i="1"/>
  <c r="AS491" i="1"/>
  <c r="AS9" i="1"/>
  <c r="AQ353" i="1"/>
  <c r="AS298" i="1"/>
  <c r="AQ198" i="1"/>
  <c r="AS290" i="1"/>
  <c r="AS338" i="1"/>
  <c r="AS328" i="1"/>
  <c r="AQ500" i="1"/>
  <c r="AQ392" i="1"/>
  <c r="AQ411" i="1"/>
  <c r="AQ292" i="1"/>
  <c r="AQ181" i="1"/>
  <c r="AS419" i="1"/>
  <c r="AS31" i="1"/>
  <c r="B98" i="4"/>
  <c r="B50" i="4"/>
  <c r="T91" i="4"/>
  <c r="AQ135" i="1"/>
  <c r="AS171" i="1"/>
  <c r="AQ509" i="1"/>
  <c r="AS46" i="1"/>
  <c r="AQ481" i="1"/>
  <c r="AQ151" i="1"/>
  <c r="AS467" i="1"/>
  <c r="AQ426" i="1"/>
  <c r="AS61" i="1"/>
  <c r="AS115" i="1"/>
  <c r="AS135" i="1"/>
  <c r="H112" i="4"/>
  <c r="AH132" i="4"/>
  <c r="AS274" i="1"/>
  <c r="AS509" i="1"/>
  <c r="AQ245" i="1"/>
  <c r="B135" i="4"/>
  <c r="AQ522" i="1"/>
  <c r="AS481" i="1"/>
  <c r="AS18" i="1"/>
  <c r="AS329" i="1"/>
  <c r="AS262" i="1"/>
  <c r="AS480" i="1"/>
  <c r="AQ126" i="1"/>
  <c r="AQ280" i="1"/>
  <c r="AH142" i="4"/>
  <c r="AQ216" i="1"/>
  <c r="AQ205" i="1"/>
  <c r="AQ379" i="1"/>
  <c r="AQ428" i="1"/>
  <c r="AQ170" i="1"/>
  <c r="T132" i="4"/>
  <c r="AS169" i="1"/>
  <c r="AS120" i="1"/>
  <c r="AQ354" i="1"/>
  <c r="AQ220" i="1"/>
  <c r="AQ206" i="1"/>
  <c r="AQ243" i="1"/>
  <c r="B125" i="4"/>
  <c r="AQ544" i="1"/>
  <c r="AQ187" i="1"/>
  <c r="H80" i="4"/>
  <c r="AS322" i="1"/>
  <c r="AQ414" i="1"/>
  <c r="AQ437" i="1"/>
  <c r="AQ357" i="1"/>
  <c r="AQ532" i="1"/>
  <c r="H25" i="4"/>
  <c r="B83" i="4"/>
  <c r="AS375" i="1"/>
  <c r="AQ100" i="1"/>
  <c r="AQ138" i="1"/>
  <c r="AS287" i="1"/>
  <c r="AQ285" i="1"/>
  <c r="AS177" i="1"/>
  <c r="AQ230" i="1"/>
  <c r="AQ101" i="1"/>
  <c r="AS195" i="1"/>
  <c r="AS409" i="1"/>
  <c r="AS221" i="1"/>
  <c r="AQ229" i="1"/>
  <c r="AQ261" i="1"/>
  <c r="AS550" i="1"/>
  <c r="AS315" i="1"/>
  <c r="AQ52" i="1"/>
  <c r="AS7" i="1"/>
  <c r="AQ508" i="1"/>
  <c r="AS336" i="1"/>
  <c r="AQ14" i="1"/>
  <c r="AQ443" i="1"/>
  <c r="AQ374" i="1"/>
  <c r="AS35" i="1"/>
  <c r="AQ342" i="1"/>
  <c r="AS545" i="1"/>
  <c r="AQ254" i="1"/>
  <c r="AQ471" i="1"/>
  <c r="AQ438" i="1"/>
  <c r="AS546" i="1"/>
  <c r="H36" i="4"/>
  <c r="B43" i="4"/>
  <c r="AH58" i="4"/>
  <c r="B65" i="4"/>
  <c r="AQ178" i="1"/>
  <c r="AS44" i="1"/>
  <c r="AQ278" i="1"/>
  <c r="AQ86" i="1"/>
  <c r="AQ211" i="1"/>
  <c r="AS293" i="1"/>
  <c r="AS29" i="1"/>
  <c r="AS517" i="1"/>
  <c r="AQ337" i="1"/>
  <c r="AQ339" i="1"/>
  <c r="AS516" i="1"/>
  <c r="B54" i="4"/>
  <c r="AS158" i="1"/>
  <c r="AS458" i="1"/>
  <c r="AS388" i="1"/>
  <c r="AQ398" i="1"/>
  <c r="AH112" i="4"/>
  <c r="AQ406" i="1"/>
  <c r="AQ545" i="1"/>
  <c r="AQ394" i="1"/>
  <c r="AS238" i="1"/>
  <c r="AQ51" i="1"/>
  <c r="AQ309" i="1"/>
  <c r="AQ235" i="1"/>
  <c r="AQ303" i="1"/>
  <c r="AH122" i="4"/>
  <c r="AS23" i="1"/>
  <c r="AQ35" i="1"/>
  <c r="AQ306" i="1"/>
  <c r="AS273" i="1"/>
  <c r="AS190" i="1"/>
  <c r="AS530" i="1"/>
  <c r="AQ47" i="1"/>
  <c r="AS353" i="1"/>
  <c r="AS425" i="1"/>
  <c r="AS435" i="1"/>
  <c r="AQ476" i="1"/>
  <c r="AS376" i="1"/>
  <c r="H91" i="4"/>
  <c r="AQ538" i="1"/>
  <c r="AS240" i="1"/>
  <c r="AH91" i="4"/>
  <c r="AQ97" i="1"/>
  <c r="AS103" i="1"/>
  <c r="AS366" i="1"/>
  <c r="AQ519" i="1"/>
  <c r="AQ415" i="1"/>
  <c r="T122" i="4"/>
  <c r="AH25" i="4"/>
  <c r="AQ244" i="1"/>
  <c r="AS404" i="1"/>
  <c r="AQ391" i="1"/>
  <c r="AS94" i="1"/>
  <c r="AS174" i="1"/>
  <c r="B72" i="4"/>
  <c r="E23" i="14" l="1"/>
  <c r="Y18"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<sst xmlns="http://schemas.openxmlformats.org/spreadsheetml/2006/main" count="10958" uniqueCount="724">
  <si>
    <t>Número monitoreo</t>
  </si>
  <si>
    <t>Mes</t>
  </si>
  <si>
    <t>Fecha monitoreo</t>
  </si>
  <si>
    <t>OBSERVACIÓN</t>
  </si>
  <si>
    <t>SI</t>
  </si>
  <si>
    <t>NO</t>
  </si>
  <si>
    <t>FORMATO TRATAMIENTO DE ACCIONES CORRECTIVAS Y  DE MEJORA PARA EL MONITOREO DE LA GESTIÓN</t>
  </si>
  <si>
    <t>Código</t>
  </si>
  <si>
    <t>DE-PR004-F002</t>
  </si>
  <si>
    <t>Versión</t>
  </si>
  <si>
    <t xml:space="preserve">Fecha </t>
  </si>
  <si>
    <t>Marque con una "X" el tipo de Acción que va a tomar</t>
  </si>
  <si>
    <t xml:space="preserve">Acción Correctiva </t>
  </si>
  <si>
    <t xml:space="preserve">Acción de Mejora </t>
  </si>
  <si>
    <t>Fuente de Detección del Hallazgo, Marque con una "X"</t>
  </si>
  <si>
    <t>Requisitos de Norma Afectados</t>
  </si>
  <si>
    <t>Proyecto donde se detecta el hallazgo</t>
  </si>
  <si>
    <t>Monitoreo de llamada</t>
  </si>
  <si>
    <t>Solicitud del cliente (Reclamación)</t>
  </si>
  <si>
    <t>Nombre  Asesor</t>
  </si>
  <si>
    <t>Calificación del cliente (Quality)</t>
  </si>
  <si>
    <t>Gestión</t>
  </si>
  <si>
    <t xml:space="preserve">Calificación  final </t>
  </si>
  <si>
    <t xml:space="preserve">Calificación  mes anterior </t>
  </si>
  <si>
    <t>Nombre de quien detecto el hallazgo y Responsable del Tratamiento</t>
  </si>
  <si>
    <t>Cargo</t>
  </si>
  <si>
    <t xml:space="preserve"> Monitoreo N° 1</t>
  </si>
  <si>
    <t xml:space="preserve">Tipo de Monitoreo </t>
  </si>
  <si>
    <t xml:space="preserve"> Fecha  del Hallazgo </t>
  </si>
  <si>
    <t xml:space="preserve">Descripción del hallazgo </t>
  </si>
  <si>
    <t>Análisis de Causas</t>
  </si>
  <si>
    <t xml:space="preserve"> Monitoreo N° 2</t>
  </si>
  <si>
    <t xml:space="preserve"> Monitoreo N° 3</t>
  </si>
  <si>
    <t xml:space="preserve"> Monitoreo N° 4</t>
  </si>
  <si>
    <t xml:space="preserve"> Monitoreo N° 5</t>
  </si>
  <si>
    <t xml:space="preserve"> Monitoreo N° 6</t>
  </si>
  <si>
    <t xml:space="preserve"> Monitoreo N° 7</t>
  </si>
  <si>
    <t xml:space="preserve"> Monitoreo N° 8</t>
  </si>
  <si>
    <t xml:space="preserve"> Monitoreo N° 9</t>
  </si>
  <si>
    <t xml:space="preserve"> Monitoreo N° 10</t>
  </si>
  <si>
    <t xml:space="preserve"> Monitoreo N° 11</t>
  </si>
  <si>
    <t xml:space="preserve"> Monitoreo N° 12</t>
  </si>
  <si>
    <t xml:space="preserve"> DESCRIPCIÓN PROPUESTA DE ACCION A IMPLEMENTAR </t>
  </si>
  <si>
    <t>TRATAMIENTO-PLAN DE ACCION PARA ELIMINAR LAS CAUSAS RAIZ DETECTADAS</t>
  </si>
  <si>
    <t>ACTIVIDADES A REALIZAR</t>
  </si>
  <si>
    <t>RESPONSABLE DE LA IMPLEMENTACIÓN</t>
  </si>
  <si>
    <t>FECHA DE IMPLEMENTACION</t>
  </si>
  <si>
    <t>RECURSOS</t>
  </si>
  <si>
    <t>FECHA DE SEGUIMIENTO</t>
  </si>
  <si>
    <t>RESPONSABLE DE SEGUIMIENTO /CIERRE</t>
  </si>
  <si>
    <t xml:space="preserve">FIRMA </t>
  </si>
  <si>
    <t xml:space="preserve">COMPROMISO ADQUIRIDO POR EL ASESOR  (ESPACIO  DILIGENCIADO Y FIRMADO POR EL ASESOR) </t>
  </si>
  <si>
    <t xml:space="preserve">FIRMA DEL ASESOR </t>
  </si>
  <si>
    <t>EQUIPO DE TRATAMIENTO</t>
  </si>
  <si>
    <t>5. DESCRIBA LOS RESULTADOS DE LAS ACCIONES IMPLEMENTADAS</t>
  </si>
  <si>
    <t>Nombres y Apellidos</t>
  </si>
  <si>
    <t>FECHA DE CIERRE</t>
  </si>
  <si>
    <t>La impresión o la copia digital en un sitio diferente al establecido por C&amp;C Services S.A.S. de este documento, se considera como una copia no controlada.</t>
  </si>
  <si>
    <t xml:space="preserve">Mes de Monitoreo </t>
  </si>
  <si>
    <t>Llave</t>
  </si>
  <si>
    <t>Descripción hallazgo</t>
  </si>
  <si>
    <t>Analisis de causas</t>
  </si>
  <si>
    <t>Coordinador</t>
  </si>
  <si>
    <t>Fisicos humanos y tecnologicos,</t>
  </si>
  <si>
    <t>Calificación anterior</t>
  </si>
  <si>
    <t>Si</t>
  </si>
  <si>
    <t>Calificación total</t>
  </si>
  <si>
    <t>ITEM</t>
  </si>
  <si>
    <t>ERRORES CRITICOS</t>
  </si>
  <si>
    <t>ERRORES NO CRITICOS</t>
  </si>
  <si>
    <t>USUARIO</t>
  </si>
  <si>
    <t>Campaña</t>
  </si>
  <si>
    <t>Semana</t>
  </si>
  <si>
    <t>Responsable:</t>
  </si>
  <si>
    <t>Firma:</t>
  </si>
  <si>
    <t>Mes /año:</t>
  </si>
  <si>
    <t>Supervisor Quality:</t>
  </si>
  <si>
    <t>Nombre de asesor</t>
  </si>
  <si>
    <t xml:space="preserve">Monitoreo </t>
  </si>
  <si>
    <t>Compromiso</t>
  </si>
  <si>
    <t>Firma</t>
  </si>
  <si>
    <t>La impresión o la copia digital en un sitio diferente al establecido por C&amp;C Services S.A.S de este documento, se considera como una copia no controlada.</t>
  </si>
  <si>
    <t>CLASIFICACIÓN</t>
  </si>
  <si>
    <t>ÍTEM PRINCIPAL</t>
  </si>
  <si>
    <t>%</t>
  </si>
  <si>
    <t>DESCRIPCIÓN</t>
  </si>
  <si>
    <t>Error Crítico de Usuario Final</t>
  </si>
  <si>
    <t>Error no crítico</t>
  </si>
  <si>
    <t>No critico</t>
  </si>
  <si>
    <t>Total general</t>
  </si>
  <si>
    <t>Meta</t>
  </si>
  <si>
    <t>Líder de Calidad</t>
  </si>
  <si>
    <t>011</t>
  </si>
  <si>
    <t>Calificador</t>
  </si>
  <si>
    <t>X</t>
  </si>
  <si>
    <t>Digitación, ortografía y redacción</t>
  </si>
  <si>
    <t>Personalización</t>
  </si>
  <si>
    <t>Identifica motivo y/o consulta del usuario</t>
  </si>
  <si>
    <t>Error critico de negocio</t>
  </si>
  <si>
    <t>Total Error Crítico de Usuario Final</t>
  </si>
  <si>
    <t>Error Crítico de cumplimiento</t>
  </si>
  <si>
    <t>Total Error Crítico de cumplimiento</t>
  </si>
  <si>
    <t>Total Error Crítico de Negocio</t>
  </si>
  <si>
    <t>Error no critico</t>
  </si>
  <si>
    <t>Tipo de comunicación</t>
  </si>
  <si>
    <t>Correo</t>
  </si>
  <si>
    <t xml:space="preserve">Radicación </t>
  </si>
  <si>
    <t>Seguimiento</t>
  </si>
  <si>
    <t>Requerimiento</t>
  </si>
  <si>
    <t>Informativa</t>
  </si>
  <si>
    <t>Incidente</t>
  </si>
  <si>
    <t>Fecha correo</t>
  </si>
  <si>
    <t>Seguridad y redacción en la comunicación</t>
  </si>
  <si>
    <t>El profesional demuestra actitud de servicio generando vínculo de empatía con el ciudadano, funcionario y/o entidad, proyectando que la comunicación sea clara, profesional, (sin repetir información ya suministrada) y cumpla con las políticas de seguridad para proteger la información del usuario. Las respuestas emitidas deberán corresponder a la consulta efectuada, evitando supuestos, apreciaciones en primera persona Eje: yo haría..., Yo le voy a enviar..., etc. y/o tercera persona de manera abrupta. Eje: Ellos son los encargados de..; yo les envío la información a ellos... etc.</t>
  </si>
  <si>
    <t>Estructura y presentación de la comunicación</t>
  </si>
  <si>
    <t>Lenguaje Claro y Positivo</t>
  </si>
  <si>
    <t>El profesional emplea un vocabulario claro, positivo y sencillo que sea entendible para quien está recibiendo el mensaje emitido. Aquí se tienen en cuenta las onomatopeyas. Atañe a la forma en que se solicitan datos y la forma en que se contesta al ciudadano, funcionario y/o entidad, dentro de la comunicación emitida, utilizando palabras de empatía ante las diferentes situaciones y las normas de etiqueta correspondientes, como evitar la escritura en mayúsculas y usar frases de cortesía, (se debe evitar el uso de lenguaje técnico y palabras o frases negativas).</t>
  </si>
  <si>
    <t>El profesional cumple con los protocolos establecidos de atención dirigiéndose  al ciudadano, funcionario y/o entidad según corresponda, de forma correcta y completa: para género masculino - Señor/Doctor dirigiéndose por su nombre y/o apellido, para género femenino - Señora/Doctora dirigiéndose por su nombre y /o apellido y para entidades publicas o privadas - Señores. El uso del nombre, debe ser equiparado dentro de la comunicación y no uso en extremo, al punto de convertirlo en una muletilla.</t>
  </si>
  <si>
    <t>Gestión de la comunicación</t>
  </si>
  <si>
    <t>El profesional valida y registra de forma correcta y completa, conforme a lineamientos del área: 1. El destinatario o remitente, 2. Asunto de la comunicación, 3. Selecciona el firmante designado por el área, 4. Relaciona y carga los anexos, 5. Relaciona la copia interna y/o externa de la respuesta, 6. Selecciona el revisor de ciclo ad hoc, 7. Realiza la radicación relacionada en los casos a que haya lugar y 8. Garantiza el medio de respuesta indicado en la comunicación.</t>
  </si>
  <si>
    <t>Tipifica correctamente la gestión</t>
  </si>
  <si>
    <t>El profesional tipifica su gestión diariamente, de forma correcta y completa en las bases o formatos de acuerdo con el tipo de solicitud gestionada y según los parámetros de la entidad o área, haciendo claridad en las observaciones del proceso realizado y otras actividades generadas en la gestión diaria</t>
  </si>
  <si>
    <t>Adjunta los documentos en los sistemas</t>
  </si>
  <si>
    <t>• El profesional garantiza la carga completa y correcta de los documentos remitidos en la comunicación, necesarios en el sistema indicado para completar el trámite.</t>
  </si>
  <si>
    <t>Direcciona adecuadamente al ciudadano, funcionario y/o entidad</t>
  </si>
  <si>
    <t>El profesional realiza direccionamiento correcto a otras áreas de la entidad  u otras entidades por competencia, según corresponda de acuerdo con el requerimiento del ciudadano, funcionario y/o entidad, acorde con las políticas de la compañía.</t>
  </si>
  <si>
    <t>Escala correctamente la comunicación</t>
  </si>
  <si>
    <t>El profesional identifica, verifica y realiza el escalamiento de la comunicación al área y/o funcionario encargado (a) según líneamientos.</t>
  </si>
  <si>
    <t>Realiza las correcciones solicitadas por el revisor</t>
  </si>
  <si>
    <t>El profesional corrige de manera oportuna la respuesta generada, cuando el revisor se lo requiere, logrando que el ciudadano tenga la información completa y necesaria.</t>
  </si>
  <si>
    <t>El profesional realiza la validación especifica (normatividad, bases de consulta, aplicativos, conceptos de otras áreas, expedientes, etc.), necesarios para detectar la necesidad específica del ciudadano, funcionario y/o entidad. Ejecuta correcto análisis de la información brindada y detecta claramente el tipo de requerimiento para solucionarlo.</t>
  </si>
  <si>
    <t>Brinda la información correcta y completa</t>
  </si>
  <si>
    <t>El profesional maneja y proporciona de manera correcta, completa y veraz la información de acuerdo con la solicitud del ciudadano, funcionario y/o entidad, basado en la correcta y completa consulta de los aplicativos, bases, expedientes, etc., demostrando comprensión tanto de la información obtenida por parte del ciudadano, funcionario y/o entidad, como la proporcionada al mismo. Garantiza que la respuesta y/o promesa de servicio esté enfocada y corresponda a las directrices fijadas por la entidad, tales como requisitos, costos, medios de pago, tiempos de respuesta, etc., de acuerdo al trámite solicitado. Indica el proceso correspondiente a la solución utilizando adecuadamente  las plantillas para generar respuestas, según el requerimiento del ciudadano, funcionario y/o entidad, en el momento preciso de la comunicación</t>
  </si>
  <si>
    <t>Tiene buen trato y es amable</t>
  </si>
  <si>
    <t>El profesional es tolerante e identifica el tipo de ciudadano, funcionario y/o entidad. Mantiene una actitud con permanente interés por ofrecer solución a sus requerimientos sin alterarse ni usar malos tratos explícitos en su comunicación escrita, tales como: groserías, lenguaje irónico, brusco y/o humillante,  que no permitan generar una experiencia memorable.  Brinda valor agegado en cada una de sus respuestas.</t>
  </si>
  <si>
    <t xml:space="preserve">El profesional presenta una correcta redacción en la comunicación escrita, registro de bases y aplicativos, cuidando en todo momento las reglas de ortografía y redacción, entre otros elementos como el uso de abreviaciones, emoticones o palabras escritas de manera incompleta o incorrecta. </t>
  </si>
  <si>
    <t xml:space="preserve">Brinda Información Confidencial </t>
  </si>
  <si>
    <t>El profesional velará por la seguridad de la información confidencial del ciudadano y/o funcionario, de tal manera que no brinde datos confidenciales a terceros (nombres, teléfonos, cedula, etc.), así mismo se abstiene de informar al ciudadano, funcionario y/o entidad, procesos internos que impriman imagen negativa al negocio como inconvenientes en aplicativos, actualización de información importante, fallas internas de procesos y/o funcionarios etc.</t>
  </si>
  <si>
    <t xml:space="preserve">Uso adecuado de las herramientas de trabajo </t>
  </si>
  <si>
    <t>El profesional hace buen uso de sus herramientas de trabajo al no realizar ni recibir información personal por el interno. Maneja adecuadamente las herramientas de trabajo sin disminuir intencionalmente el ritmo laboral (no bloquea, no accede a páginas web no autorizadas, instala programas, aplicaciones o juegos sin autorización.</t>
  </si>
  <si>
    <t>John Sebastian Roncancio Avendaño</t>
  </si>
  <si>
    <t>Cedula agente</t>
  </si>
  <si>
    <t>SCORE DE CALIFICACIÓN - ATENCIÓN A COMUNICACIONES ESCRITAS - PQRS</t>
  </si>
  <si>
    <t>CÓDIGO ITEM</t>
  </si>
  <si>
    <t>Nombre y apellido agente</t>
  </si>
  <si>
    <t>Compromiso Agente</t>
  </si>
  <si>
    <t>Nombre Agente</t>
  </si>
  <si>
    <t>Cedula Agente</t>
  </si>
  <si>
    <t>Remoto</t>
  </si>
  <si>
    <t>En vivo</t>
  </si>
  <si>
    <t>Numero de radicado</t>
  </si>
  <si>
    <t>Luisa Fernanda Benavides Castrillon</t>
  </si>
  <si>
    <t>Total</t>
  </si>
  <si>
    <t>Nombre agente</t>
  </si>
  <si>
    <t>Promedio de Calificación</t>
  </si>
  <si>
    <t>MINISTERIO DE EDUCACIÓN NACIONAL</t>
  </si>
  <si>
    <t>Ministerio de Educación Nacional</t>
  </si>
  <si>
    <t>Promedio de Error critico de negocio</t>
  </si>
  <si>
    <t>Promedio de No critico</t>
  </si>
  <si>
    <t>Promedio de Error Crítico de cumplimiento</t>
  </si>
  <si>
    <t>Promedio de Error Crítico de Usuario Final</t>
  </si>
  <si>
    <t>Nota calidad global</t>
  </si>
  <si>
    <t>No</t>
  </si>
  <si>
    <t>Area</t>
  </si>
  <si>
    <t>Convalidaciones</t>
  </si>
  <si>
    <t>Inspección y Vigilancia</t>
  </si>
  <si>
    <t>Tipo de Monitoreo</t>
  </si>
  <si>
    <t xml:space="preserve">Monitoreos por área </t>
  </si>
  <si>
    <t>% de monitoreos</t>
  </si>
  <si>
    <t>Cuenta de Tipo de Monitoreo</t>
  </si>
  <si>
    <t>Porcentaje de Precisión</t>
  </si>
  <si>
    <t>Ana Graciela Barbosa Villalobos</t>
  </si>
  <si>
    <t>Cesar Rodrigo García</t>
  </si>
  <si>
    <t>Cristian Enrique Benitez Rodriguez</t>
  </si>
  <si>
    <t>Erika Natalia Ramírez Herrera</t>
  </si>
  <si>
    <t>Henry Eduardo Padilla Castilla</t>
  </si>
  <si>
    <t>Ingrid Carolina Monsalve Quintero</t>
  </si>
  <si>
    <t>Jesus David Hernandez Fernandez de Castro</t>
  </si>
  <si>
    <t>Juan Jose Santoya Medina</t>
  </si>
  <si>
    <t>Juan Sebastián Suárez Morales</t>
  </si>
  <si>
    <t>Laura Juliana Rueda Durán</t>
  </si>
  <si>
    <t>Natalia Cañón Betancourt</t>
  </si>
  <si>
    <t>Quira Alejandra Herrera Camelo</t>
  </si>
  <si>
    <t>Valentina Castillo Rondón</t>
  </si>
  <si>
    <t>abarbosav</t>
  </si>
  <si>
    <t>crodrigo</t>
  </si>
  <si>
    <t>cbenitezr</t>
  </si>
  <si>
    <t>damurillo</t>
  </si>
  <si>
    <t>erramirezh</t>
  </si>
  <si>
    <t>inmonsalve</t>
  </si>
  <si>
    <t>jsantoya</t>
  </si>
  <si>
    <t>jehernandez</t>
  </si>
  <si>
    <t>jusuarezm</t>
  </si>
  <si>
    <t>lruedad</t>
  </si>
  <si>
    <t>mairodriguez</t>
  </si>
  <si>
    <t>mauribe</t>
  </si>
  <si>
    <t>nacanon</t>
  </si>
  <si>
    <t>qherrera</t>
  </si>
  <si>
    <t>vacastillo</t>
  </si>
  <si>
    <t>ydurano</t>
  </si>
  <si>
    <t>El profesional remite su respuesta a la comunicación asignada, con buena presentación, llevando un orden lógico, justificando el texto y sin dejar espacios innecesarios, color, tipo de y tamaño de letra conforme a lineamientos, buscando generar una buena imagen del documento y de la entidad.</t>
  </si>
  <si>
    <t>Laura Ximena Sandoval Galindo</t>
  </si>
  <si>
    <t>lsandoval</t>
  </si>
  <si>
    <t>Daniela Murillo Solano</t>
  </si>
  <si>
    <t>Maira Alejandra Rodriguez Losada</t>
  </si>
  <si>
    <t>María José Uribe Medina</t>
  </si>
  <si>
    <t>Yenny Maribel Duran Ovejero</t>
  </si>
  <si>
    <t>Área</t>
  </si>
  <si>
    <t>Registro Calificado - Nuevo SACES</t>
  </si>
  <si>
    <t>Consejo Nacional de Acreditación - CNA</t>
  </si>
  <si>
    <t>Consejo Nacional de Acreditación – CNA</t>
  </si>
  <si>
    <t>Convalidaciones (Apoyo Dirección de Calidad)</t>
  </si>
  <si>
    <t>PQRS</t>
  </si>
  <si>
    <t>Retroalimentación Preventiva</t>
  </si>
  <si>
    <t>hpadillac</t>
  </si>
  <si>
    <t>Cantidad Monitoreos</t>
  </si>
  <si>
    <t>Promedio Mensual Tipo de Monitoreo</t>
  </si>
  <si>
    <t>Nota Promedio Global por Semana</t>
  </si>
  <si>
    <t xml:space="preserve">Promedio Mensual de Monitoreos por Área </t>
  </si>
  <si>
    <t>Nota Global por Tipo de Error</t>
  </si>
  <si>
    <t>Nota Promedio Global Mensual</t>
  </si>
  <si>
    <t>Pomedio Monitoreos por Agente Semanal y Mensual</t>
  </si>
  <si>
    <t>Nota Promedio por Agente Semanal y Mensual</t>
  </si>
  <si>
    <t>Error No critico</t>
  </si>
  <si>
    <t>Error Crítico de Cumplimiento</t>
  </si>
  <si>
    <t>Error Critico de Negocio</t>
  </si>
  <si>
    <t>Datos Básicos Monitoreos</t>
  </si>
  <si>
    <t>Radicado</t>
  </si>
  <si>
    <t>Andrés Felipe Silva Martínez</t>
  </si>
  <si>
    <t>Cantidad de Monitoreos</t>
  </si>
  <si>
    <t>Promedio de Calificación total</t>
  </si>
  <si>
    <t>Total Nota Global</t>
  </si>
  <si>
    <t>Score Variable Ministerio de Educación Nacional</t>
  </si>
  <si>
    <t>asilvam</t>
  </si>
  <si>
    <t>GP-PR002-F002</t>
  </si>
  <si>
    <t>010</t>
  </si>
  <si>
    <t>FORMATO DE RETROALIMENTACION QUALITY</t>
  </si>
  <si>
    <t>Nota llamada</t>
  </si>
  <si>
    <t>Fecha llamada</t>
  </si>
  <si>
    <t>(Todas)</t>
  </si>
  <si>
    <t>CS-25-191008</t>
  </si>
  <si>
    <t>2025-ER-0482232</t>
  </si>
  <si>
    <t xml:space="preserve">2025-ER-0499306 </t>
  </si>
  <si>
    <t>2025-ER-0491685</t>
  </si>
  <si>
    <t>2025-ER-0473234</t>
  </si>
  <si>
    <t>2025-ER-0442273</t>
  </si>
  <si>
    <t>2025-ER-0488901</t>
  </si>
  <si>
    <t>CS-25-191295</t>
  </si>
  <si>
    <t>2025-ER-0494990</t>
  </si>
  <si>
    <t>2025-ER-0501776</t>
  </si>
  <si>
    <t>SOL978672</t>
  </si>
  <si>
    <t>2025-ER-0172076</t>
  </si>
  <si>
    <t>2025-ER-0465616</t>
  </si>
  <si>
    <t>2025-ER-0247902</t>
  </si>
  <si>
    <t>2025-ER-0479292</t>
  </si>
  <si>
    <t>2025-ER-0487881</t>
  </si>
  <si>
    <t>2025-ER-0496652</t>
  </si>
  <si>
    <t>2025-ER-0494184</t>
  </si>
  <si>
    <t>2025-ER-0500832</t>
  </si>
  <si>
    <t>2025-ER-0491453</t>
  </si>
  <si>
    <t>2025-ER-0499913</t>
  </si>
  <si>
    <t>2025-ER-0489572</t>
  </si>
  <si>
    <t>2025-ER-0465507</t>
  </si>
  <si>
    <t>2025-ER-0490470</t>
  </si>
  <si>
    <t xml:space="preserve">2025-ER-0495019 </t>
  </si>
  <si>
    <t>2025-ER-0303136</t>
  </si>
  <si>
    <t>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</si>
  <si>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 xml:space="preserve">Monitoreo de Calidad (05/11/2025 – Gestión del 04/11/2025)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Redacción más fluida y coherente: La respuesta presenta dificultades por la ausencia de conectores y frases que permitan un hilo conductor claro, afectando la comprensión y la percepción de servicio.  Mayor empatía en el mensaje: Es importante proyectar un tono más cercano y orientado al ciudadano, transmitiendo actitud de servicio y generando confianza. Claridad y profesionalismo: Ajustar la estructura para que la comunicación sea más clara, ordenada y fácil de leer.
Ejemplo observado:
(...) lo anterior, esta decisión se ha tomado con el objetivo (...)
Recomendaciones: Incorporar conectores y frases de transición para dar continuidad al mensaje. Analizar cómo proyectar la respuesta para brindar claridad y actitud de servicio. Generar un vínculo de empatía con el ciudadano, cuidando el tono y las expresiones utilizadas. </t>
  </si>
  <si>
    <t>Monitoreo de Calidad – 05/10/2025 (Gestión del 04/11/2025):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Presentación y estructura: La respuesta presenta dificultades en la justificación del texto, lo que afecta la imagen del documento y la percepción de profesionalismo, Claridad visual: Ajustar la forma del comunicado para que cumpla con los lineamientos de presentación establecidos por el área, proyectando orden y calidad y el Impacto en la experiencia del ciudadano: Una presentación adecuada refuerza la confianza y la empatía en la comunicación.
Recomendaciones: validar siempre la calidad visual y la presentación del comunicado antes de enviarlo, hay que asegurar que el texto esté justificado y cumpla con los lineamientos de forma, proyectando una imagen profesional tanto del documento como de la entidad, mantener la coherencia entre contenido y presentación para fortalecer la percepción de servicio.</t>
  </si>
  <si>
    <t xml:space="preserve"> La respuesta presenta dificultades en la justificación del texto, lo que afecta la imagen del documento y la percepción de profesionalismo, Claridad visual: Ajustar la forma del comunicado para que cumpla con los lineamientos de presentación establecidos por el área, proyectando orden y calidad y el Impacto en la experiencia del ciudadano: Una presentación adecuada refuerza la confianza y la empatía en la comunicación.</t>
  </si>
  <si>
    <t>No valida la calidad del comunicado emitido antes de su revisión y aprobación</t>
  </si>
  <si>
    <t>La respuesta presenta dificultades por la ausencia de conectores y frases que permitan un hilo conductor claro, afectando la comprensión y la percepción de servicio.  Mayor empatía en el mensaje: Es importante proyectar un tono más cercano y orientado al ciudadano, transmitiendo actitud de servicio y generando confianza. Claridad y profesionalismo: Ajustar la estructura para que la comunicación sea más clara, ordenada y fácil de leer.</t>
  </si>
  <si>
    <t>CS-25-191447</t>
  </si>
  <si>
    <t>CS-25-191567</t>
  </si>
  <si>
    <t>CS-25-191669</t>
  </si>
  <si>
    <t>2025-ER-0442120</t>
  </si>
  <si>
    <t>2025-ER-0495343</t>
  </si>
  <si>
    <t xml:space="preserve">2025-ER-0493070 </t>
  </si>
  <si>
    <t>2025-ER-0498208</t>
  </si>
  <si>
    <t>2025-ER-0447294</t>
  </si>
  <si>
    <t>2025-ER-0501528</t>
  </si>
  <si>
    <t>2025-ER-0209014</t>
  </si>
  <si>
    <t>2025-ER-0502794</t>
  </si>
  <si>
    <t>2025-ER-0504511</t>
  </si>
  <si>
    <t>2025-ER-0482380</t>
  </si>
  <si>
    <t>2025-ER-0173005</t>
  </si>
  <si>
    <t>2025-ER-0173995</t>
  </si>
  <si>
    <t>2025-ER-0209986</t>
  </si>
  <si>
    <t>2025-ER-0503919</t>
  </si>
  <si>
    <t>2025-ER-0494336</t>
  </si>
  <si>
    <t>2025-ER-0498471</t>
  </si>
  <si>
    <t>2025-ER-0503814</t>
  </si>
  <si>
    <t>2025-ER-0505089</t>
  </si>
  <si>
    <t>2025-ER-0498877</t>
  </si>
  <si>
    <t>2025-ER-0501445</t>
  </si>
  <si>
    <t>2025-ER-0501656</t>
  </si>
  <si>
    <t>2025-ER-0477663</t>
  </si>
  <si>
    <t>2025-ER-0485480</t>
  </si>
  <si>
    <t>2025-ER-0158260</t>
  </si>
  <si>
    <t>CS-25-191872</t>
  </si>
  <si>
    <t>CS-25-192051</t>
  </si>
  <si>
    <t>2025-ER-0493653</t>
  </si>
  <si>
    <t>2025-ER-0494924</t>
  </si>
  <si>
    <t>2025-ER-0481326</t>
  </si>
  <si>
    <t>2025-ER-0503849</t>
  </si>
  <si>
    <t>2025-ER-0451296</t>
  </si>
  <si>
    <t>2025-ER-0483478</t>
  </si>
  <si>
    <t>2025-ER-0204618</t>
  </si>
  <si>
    <t>2025-ER-0505725</t>
  </si>
  <si>
    <t>2025-ER-0507133</t>
  </si>
  <si>
    <t>2025-ER-0496626</t>
  </si>
  <si>
    <t>2025-ER-0322384</t>
  </si>
  <si>
    <t>2025-ER-0325076</t>
  </si>
  <si>
    <t xml:space="preserve">2025-ER-0502549 </t>
  </si>
  <si>
    <t>2025-ER-0495222</t>
  </si>
  <si>
    <t>2025-ER-0507144</t>
  </si>
  <si>
    <t>2025-ER-0501379</t>
  </si>
  <si>
    <t>2025-ER-0503830</t>
  </si>
  <si>
    <t>2025-ER-0502799</t>
  </si>
  <si>
    <t>2025-ER-0507281</t>
  </si>
  <si>
    <t>2025-ER-0501765</t>
  </si>
  <si>
    <t>2025-ER-0501624</t>
  </si>
  <si>
    <t>2025-ER-0492476</t>
  </si>
  <si>
    <t>2025-ER-0478096</t>
  </si>
  <si>
    <t>2025-ER-0363150</t>
  </si>
  <si>
    <t>CS-25-192112</t>
  </si>
  <si>
    <t>CS-25-192120</t>
  </si>
  <si>
    <t>CS-25-192161</t>
  </si>
  <si>
    <t>CS-25-192189</t>
  </si>
  <si>
    <t>CS-25-192226</t>
  </si>
  <si>
    <t>CS-25-192300</t>
  </si>
  <si>
    <t>2025-ER-0420736</t>
  </si>
  <si>
    <t>2025-ER-0494950</t>
  </si>
  <si>
    <t>2025-ER-0501903</t>
  </si>
  <si>
    <t>2025-ER-0505813</t>
  </si>
  <si>
    <t>2025-ER-0507250</t>
  </si>
  <si>
    <t>2025-ER-0507313</t>
  </si>
  <si>
    <t>2025-ER-0505770</t>
  </si>
  <si>
    <t>2025-ER-0494973</t>
  </si>
  <si>
    <t>2025-ER-0501588</t>
  </si>
  <si>
    <t>2025-ER-0509285</t>
  </si>
  <si>
    <t xml:space="preserve">2025-ER-0327308 </t>
  </si>
  <si>
    <t>2025-ER-0210706</t>
  </si>
  <si>
    <t>2025-ER-0287022</t>
  </si>
  <si>
    <t>2025-ER-0505165</t>
  </si>
  <si>
    <t>2025-ER-0483328</t>
  </si>
  <si>
    <t>2025-ER-0504846</t>
  </si>
  <si>
    <t>2025-ER-0509332</t>
  </si>
  <si>
    <t>2025-ER-0494364</t>
  </si>
  <si>
    <t>2025-ER-0491523</t>
  </si>
  <si>
    <t>2025-ER-0502717</t>
  </si>
  <si>
    <t>2025-ER-0503051</t>
  </si>
  <si>
    <t>2025-ER-0478095</t>
  </si>
  <si>
    <t>2025-ER-0484213</t>
  </si>
  <si>
    <t>2025-ER-0494581</t>
  </si>
  <si>
    <t>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</si>
  <si>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</si>
  <si>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</si>
  <si>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Noviembre 2025</t>
  </si>
  <si>
    <t>Me comprometo a corregir los errores señalados y a mejorar la redacción, el uso de conectores y la estructura de las comunicaciones.</t>
  </si>
  <si>
    <t xml:space="preserve">Me comprometo a revisar con mayor atención el formato y la justificación de los textos antes de enviar cualquier respuesta, verificando que cumpla con los lineamientos establecidos. De ahora en adelante, validaré cada documento antes de su envío para evitar errores de presentación o formato similares. </t>
  </si>
  <si>
    <t>2025-ER-0489160</t>
  </si>
  <si>
    <t>CS-25-192427</t>
  </si>
  <si>
    <t>CS-25-192475</t>
  </si>
  <si>
    <t>2025-ER-0487876</t>
  </si>
  <si>
    <t>2025-ER-0502518</t>
  </si>
  <si>
    <t>2025-ER-0496654</t>
  </si>
  <si>
    <t>2025-ER-0510321</t>
  </si>
  <si>
    <t>2025-ER-0511551</t>
  </si>
  <si>
    <t>2025-ER-0506631</t>
  </si>
  <si>
    <t>2025-ER-0268048</t>
  </si>
  <si>
    <t>2025-ER-0510419</t>
  </si>
  <si>
    <t>2025-ER-0509013</t>
  </si>
  <si>
    <t>2025-ER-0484211</t>
  </si>
  <si>
    <t>2025-ER-0410496</t>
  </si>
  <si>
    <t>2025-ER-0472700</t>
  </si>
  <si>
    <t>2025-ER-0408027</t>
  </si>
  <si>
    <t>2025-ER-0385390</t>
  </si>
  <si>
    <t>2025-ER-0502818</t>
  </si>
  <si>
    <t>2025-ER-0449067</t>
  </si>
  <si>
    <t>2025-ER-0509554</t>
  </si>
  <si>
    <t>2025-ER-0510348</t>
  </si>
  <si>
    <t>2025-ER-0508336</t>
  </si>
  <si>
    <t>2025-ER-0511974</t>
  </si>
  <si>
    <t>2025-ER-0503966</t>
  </si>
  <si>
    <t>2025-ER-0506679</t>
  </si>
  <si>
    <t xml:space="preserve">SOL990132 </t>
  </si>
  <si>
    <t>2025-ER-0485393</t>
  </si>
  <si>
    <t>2025-ER-0500434</t>
  </si>
  <si>
    <t>CS-25-192681</t>
  </si>
  <si>
    <t>2025-ER-0488515</t>
  </si>
  <si>
    <t>2025-ER-0493047</t>
  </si>
  <si>
    <t>2025-ER-0504821</t>
  </si>
  <si>
    <t>2025-ER-0222132</t>
  </si>
  <si>
    <t>2025-ER-0409538</t>
  </si>
  <si>
    <t>2025-ER-0462922</t>
  </si>
  <si>
    <t>2025-ER-0514888</t>
  </si>
  <si>
    <t>2025-ER-0450611</t>
  </si>
  <si>
    <t>2025-ER-0483638</t>
  </si>
  <si>
    <t>2025-ER-0485400</t>
  </si>
  <si>
    <t>2025-ER-0512072</t>
  </si>
  <si>
    <t>2025-ER-0512435</t>
  </si>
  <si>
    <t>2025-ER-0507629</t>
  </si>
  <si>
    <t>2025-ER-0478001</t>
  </si>
  <si>
    <t>2025-ER-0495568</t>
  </si>
  <si>
    <t xml:space="preserve">2025-ER-0484158 </t>
  </si>
  <si>
    <t>2025-ER-0514067</t>
  </si>
  <si>
    <t>SOL992203</t>
  </si>
  <si>
    <t>2025-ER-0510380</t>
  </si>
  <si>
    <t>2025-ER-0489832</t>
  </si>
  <si>
    <t>2025-ER-0513010</t>
  </si>
  <si>
    <t>2025-ER-0508519</t>
  </si>
  <si>
    <t>2025-ER-0509817</t>
  </si>
  <si>
    <t>2025-ER-0509875</t>
  </si>
  <si>
    <t>2025-ER-0515013</t>
  </si>
  <si>
    <t xml:space="preserve">2025-ER-0495511 </t>
  </si>
  <si>
    <t>2025-ER-0498412</t>
  </si>
  <si>
    <t xml:space="preserve">2025-ER-0503939 </t>
  </si>
  <si>
    <t>2025-ER-0506880</t>
  </si>
  <si>
    <t>CS-25-192892</t>
  </si>
  <si>
    <t>CS-25-192958</t>
  </si>
  <si>
    <t>CS-25-192970</t>
  </si>
  <si>
    <t>2025-ER-0509308</t>
  </si>
  <si>
    <t>2025-ER-0489580</t>
  </si>
  <si>
    <t>2025-ER-0515934</t>
  </si>
  <si>
    <t>2025-ER-0515231</t>
  </si>
  <si>
    <t>2025-ER-0518414</t>
  </si>
  <si>
    <t>2025-ER-0489352</t>
  </si>
  <si>
    <t>2025-ER-0515313</t>
  </si>
  <si>
    <t>2025-ER-0512917</t>
  </si>
  <si>
    <t>2025-ER-0515320</t>
  </si>
  <si>
    <t>2025-ER-0505510</t>
  </si>
  <si>
    <t xml:space="preserve">2025-ER-0498436 </t>
  </si>
  <si>
    <t>2025-ER-0494518</t>
  </si>
  <si>
    <t>2025-ER-0383227</t>
  </si>
  <si>
    <t>2025-ER-0332444</t>
  </si>
  <si>
    <t>SOL989662</t>
  </si>
  <si>
    <t>2025-ER-0514247</t>
  </si>
  <si>
    <t>2025-ER-0514268</t>
  </si>
  <si>
    <t>2025-ER-0512755</t>
  </si>
  <si>
    <t>2025-ER-0512057</t>
  </si>
  <si>
    <t>2025-ER-0511928</t>
  </si>
  <si>
    <t>2025-ER-0504774</t>
  </si>
  <si>
    <t>2025-ER-0505936</t>
  </si>
  <si>
    <t>2025-ER-0456264</t>
  </si>
  <si>
    <t xml:space="preserve">2025-ER-0511768 </t>
  </si>
  <si>
    <t>CS-25-192978</t>
  </si>
  <si>
    <t>CS-25-193091</t>
  </si>
  <si>
    <t>CS-25-193137</t>
  </si>
  <si>
    <t>2025-ER-0501235</t>
  </si>
  <si>
    <t>2025-ER-0509706</t>
  </si>
  <si>
    <t>2025-ER-0239466</t>
  </si>
  <si>
    <t>2025-ER-0519931</t>
  </si>
  <si>
    <t>2025-ER-0521070</t>
  </si>
  <si>
    <t>2025-ER-0470603</t>
  </si>
  <si>
    <t>2025-ER-0415076</t>
  </si>
  <si>
    <t>2025-ER-0517040</t>
  </si>
  <si>
    <t>2025-ER-0518052</t>
  </si>
  <si>
    <t>2025-ER-0490144</t>
  </si>
  <si>
    <t>2025-ER-0505611</t>
  </si>
  <si>
    <t>2025-ER-0498415</t>
  </si>
  <si>
    <t>2025-ER-0505523</t>
  </si>
  <si>
    <t>2025-ER-0512142</t>
  </si>
  <si>
    <t>2025-ER-0493282</t>
  </si>
  <si>
    <t>2025-ER-0502747</t>
  </si>
  <si>
    <t>2025-ER-0519851</t>
  </si>
  <si>
    <t>2025-ER-0517116</t>
  </si>
  <si>
    <t>2025-ER-0518757</t>
  </si>
  <si>
    <t>2025-ER-0515464</t>
  </si>
  <si>
    <t>2025-ER-0504786</t>
  </si>
  <si>
    <t>2025-ER-0511419</t>
  </si>
  <si>
    <t>2025-ER-0500772</t>
  </si>
  <si>
    <t>2025-ER-0368322</t>
  </si>
  <si>
    <t>CS-25-193215</t>
  </si>
  <si>
    <t>CS-25-193246</t>
  </si>
  <si>
    <t>2025-ER-0511376</t>
  </si>
  <si>
    <t>2025-ER-0520665</t>
  </si>
  <si>
    <t>2025-ER-0496753</t>
  </si>
  <si>
    <t>2025-ER-0504832</t>
  </si>
  <si>
    <t>2025-ER-0501527</t>
  </si>
  <si>
    <t>2025-ER-0469145</t>
  </si>
  <si>
    <t>2025-ER-0486687</t>
  </si>
  <si>
    <t>2025-ER-0503145</t>
  </si>
  <si>
    <t>2025-ER-0521362</t>
  </si>
  <si>
    <t>2025-ER-0520301</t>
  </si>
  <si>
    <t>2025-ER-0449484</t>
  </si>
  <si>
    <t xml:space="preserve">2025-ER-0511378 </t>
  </si>
  <si>
    <t>2025-IE-035879</t>
  </si>
  <si>
    <t>2025-ER-0512667</t>
  </si>
  <si>
    <t>2025-ER-0520578</t>
  </si>
  <si>
    <t>SOL991142</t>
  </si>
  <si>
    <t>2025-ER-0502269</t>
  </si>
  <si>
    <t>2025-ER-0517313</t>
  </si>
  <si>
    <t>2025-ER-0522614</t>
  </si>
  <si>
    <t>2025-ER-0521878</t>
  </si>
  <si>
    <t>2025-ER-0519022</t>
  </si>
  <si>
    <t>2025-ER-0520592</t>
  </si>
  <si>
    <t>2025-ER-0521704</t>
  </si>
  <si>
    <t>2025-ER-0502503</t>
  </si>
  <si>
    <t>2025-ER-0448682</t>
  </si>
  <si>
    <t xml:space="preserve">2025-ER-0450138 </t>
  </si>
  <si>
    <t>CS-25-193383</t>
  </si>
  <si>
    <t>CS-25-193427</t>
  </si>
  <si>
    <t>CS-25-193469</t>
  </si>
  <si>
    <t>2025-ER-0509569</t>
  </si>
  <si>
    <t>2025-ER-0507417</t>
  </si>
  <si>
    <t>2025-ER-0447143</t>
  </si>
  <si>
    <t>2025-ER-0500856</t>
  </si>
  <si>
    <t>2025-ER-0524329</t>
  </si>
  <si>
    <t>2025-ER-0479933</t>
  </si>
  <si>
    <t>2025-ER-0506295</t>
  </si>
  <si>
    <t>2025-ER-0512606</t>
  </si>
  <si>
    <t>2025-ER-0522585</t>
  </si>
  <si>
    <t>2025-ER-0524831</t>
  </si>
  <si>
    <t>2025-ER-0493264</t>
  </si>
  <si>
    <t>2025-ER-0504145</t>
  </si>
  <si>
    <t>2025-ER-0511757</t>
  </si>
  <si>
    <t>2025-ER-0513193</t>
  </si>
  <si>
    <t>2025-ER-0509630</t>
  </si>
  <si>
    <t>2025-ER-0518733</t>
  </si>
  <si>
    <t>2025-ER-0519388</t>
  </si>
  <si>
    <t>2025-ER-0516920</t>
  </si>
  <si>
    <t>2025-ER-0519971</t>
  </si>
  <si>
    <t>2025-ER-0520744</t>
  </si>
  <si>
    <t>2025-ER-0522078</t>
  </si>
  <si>
    <t>2025-ER-0491164</t>
  </si>
  <si>
    <t>2025-ER-0505490</t>
  </si>
  <si>
    <t xml:space="preserve">2025-ER-0520295 </t>
  </si>
  <si>
    <t>CS-25-193513</t>
  </si>
  <si>
    <t>CS-25-193537</t>
  </si>
  <si>
    <t>CS-25-193582</t>
  </si>
  <si>
    <t>2025-ER-0460404</t>
  </si>
  <si>
    <t>2025-ER-0235886</t>
  </si>
  <si>
    <t>2025-ER-0301486</t>
  </si>
  <si>
    <t>2025-ER-0504753</t>
  </si>
  <si>
    <t>2025-ER-0527568</t>
  </si>
  <si>
    <t>2025-ER-0528464</t>
  </si>
  <si>
    <t>2025-ER-0489538</t>
  </si>
  <si>
    <t>2025-ER-0523931</t>
  </si>
  <si>
    <t>2025-ER-0526829</t>
  </si>
  <si>
    <t xml:space="preserve">2025-ER-0523103 </t>
  </si>
  <si>
    <t xml:space="preserve">2025-ER-0521419 </t>
  </si>
  <si>
    <t>2025-ER-0524204</t>
  </si>
  <si>
    <t>2025-ER-0495037</t>
  </si>
  <si>
    <t>2025-ER-0474439</t>
  </si>
  <si>
    <t>2025-ER-0521838</t>
  </si>
  <si>
    <t>2025-ER-0509455</t>
  </si>
  <si>
    <t>2025-ER-0524014</t>
  </si>
  <si>
    <t>2025-ER-0527594</t>
  </si>
  <si>
    <t>2025-ER-0523127</t>
  </si>
  <si>
    <t>2025-ER-0527736</t>
  </si>
  <si>
    <t>2025-ER-0527555</t>
  </si>
  <si>
    <t>2025-ER-0495766</t>
  </si>
  <si>
    <t xml:space="preserve">2025-ER-0462383 </t>
  </si>
  <si>
    <t>CS-25-193637</t>
  </si>
  <si>
    <t>CS-25-193712</t>
  </si>
  <si>
    <t>CS-25-193736</t>
  </si>
  <si>
    <t>SOL981001</t>
  </si>
  <si>
    <t>2025-ER-0515421</t>
  </si>
  <si>
    <t>2025-ER-0405613</t>
  </si>
  <si>
    <t>2025-ER-0526952</t>
  </si>
  <si>
    <t>2025-ER-0527427</t>
  </si>
  <si>
    <t>2025-ER-0531756</t>
  </si>
  <si>
    <t>2025-ER-0518358</t>
  </si>
  <si>
    <t>2025-ER-0476587</t>
  </si>
  <si>
    <t>2025-ER-0509463</t>
  </si>
  <si>
    <t>2025-ER-0523874</t>
  </si>
  <si>
    <t>2025-ER-0531716</t>
  </si>
  <si>
    <t>2025-ER-0512296</t>
  </si>
  <si>
    <t>2025-ER-0528337</t>
  </si>
  <si>
    <t>2025-ER-0497998</t>
  </si>
  <si>
    <t xml:space="preserve">2025-ER-0460504 </t>
  </si>
  <si>
    <t>Monitoreo de Calidad – 19/10/2025 (Gestión del 18/11/2025):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que la respuesta enviada al ciudadano presenta oportunidades de mejora en la redacción.
Principalmente, se observa que la forma en que se estructuran las respuestas no facilita una comunicación clara ni un orden lógico. Además, no se hace referencia de manera sencilla a la petición planteada en cada una de las preguntas. 
Recomendaciones para fortalecer la calidad:
Redactar las respuestas con una estructura lógica y coherente.
Referirse de forma clara y directa a cada solicitud realizada.
Incorporar un tono empático que proyecte seguridad y cohesión en el mensaje.
Estas mejoras permitirán que la información sea más comprensible y alineada con nuestros estándares de calidad.</t>
  </si>
  <si>
    <t>Las respuestas no facilitan una comunicación clara ni un orden lógico, conforme a la petición</t>
  </si>
  <si>
    <t>Uso correcto de tildes y signos de puntuación</t>
  </si>
  <si>
    <t>Personalización correcta del peticionario</t>
  </si>
  <si>
    <t>Monitoreo de Calidad – 19/10/2025 (Gestión del 18/11/2025):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que la respuesta enviada al ciudadano presenta oportunidades de mejora en la redacción. Principalmente, se observa que omite el uso de las tildes en palabras como artículo y término, así como el uso de la coma (,), después de los adverbios (excepcionalmente, amablemente, etc.), cuando estos se refiere a toda la frase y no al verbo principal, con el objetivo de generar entonación y claridad en el mensaje emitido.
Recomendaciones para fortalecer la calidad:
Para fortalecer la experiencia del ciudadano y garantizar una comunicación más efectiva, se recomienda:
Redactar las respuestas con una estructura lógica y coherente.
Validar y corregir plantillas, y hacer uso de correctores ortográficos tales como: Word, Languagetool, Spellboy
Si el adverbio «excepcionalmente» o «amablemente»  se refiere a toda la frase, y no solo al verbo, es recomendable usar una coma (,).
Estas mejoras permitirán que la información sea más comprensible y alineada con nuestros estándares de calidad.</t>
  </si>
  <si>
    <t>Monitoreo de Calidad – 20/10/2025 (Gestión del 19/11/2025):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que la respuesta enviada al ciudadano presenta oportunidades de mejora en la redacción. En particular, se observa una inconsistencia en el saludo: en el encabezado se utiliza “Señor” y en el cuerpo del correo “Doctor”. Esto no cumple con los protocolos establecidos para la atención, que indican dirigirse al ciudadano, funcionario y/o entidad de manera correcta y completa.
Recomendaciones para fortalecer la calidad:
Para fortalecer la experiencia del ciudadano y garantizar una comunicación más efectiva, se recomienda:
Referirse de forma clara y directa a cada solicitud realizada, al peticionario conforme a su título o cargo.
Validar los aspectos de forma antes de enviar a revisión para evitar rechazos.
Estas mejoras permitirán que la información sea más comprensible y alineada con nuestros estándares de calidad.</t>
  </si>
  <si>
    <t xml:space="preserve">Gracias por las recomendaciones, se tendrán en cuenta para futuras respuestas. Cabe mencionar que todas las respuestas se toman de las plantillas establecidas y aprobadas directamente desde la subdirección. Estaré pendiente de errores ortográficos de estas plantillas para corregirlos. </t>
  </si>
  <si>
    <t>Jesús David Hernández </t>
  </si>
  <si>
    <t>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</si>
  <si>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</si>
  <si>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</si>
  <si>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</si>
  <si>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</si>
  <si>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</si>
  <si>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</si>
  <si>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</si>
  <si>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Asumo el compromiso de prestar especial cuidado al hacer referencia a la petición planteada en cada una de las solicitudes. Muchas gracias</t>
  </si>
  <si>
    <t>Me comprometo a revisar con mayor atención los saludos y aspectos formales de cada respuesta antes de enviar cualquier respuesta, verificando que cumpla con los lineamientos establecidos. De ahora en adelante, validaré cada documento antes de su envío para evitar errores de presentación o formato similares. </t>
  </si>
  <si>
    <t>CS-25-193781</t>
  </si>
  <si>
    <t>2025-ER-0475329</t>
  </si>
  <si>
    <t>2025-ER-0512567</t>
  </si>
  <si>
    <t>2025-ER-0528714</t>
  </si>
  <si>
    <t>2025-ER-0530276</t>
  </si>
  <si>
    <t>2025-ER-0499943</t>
  </si>
  <si>
    <t>2025-ER-0510381</t>
  </si>
  <si>
    <t>2025-ER-0524137</t>
  </si>
  <si>
    <t>2025-ER-0524857</t>
  </si>
  <si>
    <t>2025-ER-0531847</t>
  </si>
  <si>
    <t>2025-ER-0530261</t>
  </si>
  <si>
    <t>2025-ER-0516351</t>
  </si>
  <si>
    <t>CS-25-193875</t>
  </si>
  <si>
    <t>CS-25-193899</t>
  </si>
  <si>
    <t>CS-25-193923</t>
  </si>
  <si>
    <t>2025-ER-0522004</t>
  </si>
  <si>
    <t xml:space="preserve">2025-ER-0501500 </t>
  </si>
  <si>
    <t>2025-ER-0483587</t>
  </si>
  <si>
    <t>2025-ER-0520988</t>
  </si>
  <si>
    <t>2025-ER-0502781</t>
  </si>
  <si>
    <t>2025-ER-0530621</t>
  </si>
  <si>
    <t>2025-ER-0532362</t>
  </si>
  <si>
    <t>2025-ER-0511982</t>
  </si>
  <si>
    <t>2025-ER-0504143</t>
  </si>
  <si>
    <t xml:space="preserve">2025-ER-0524297 </t>
  </si>
  <si>
    <t>2025-ER-0529682</t>
  </si>
  <si>
    <t>2025-ER-0512623</t>
  </si>
  <si>
    <t>2025-ER-0524489</t>
  </si>
  <si>
    <t>2025-ER-0526623</t>
  </si>
  <si>
    <t>2025-ER-0532645</t>
  </si>
  <si>
    <t>2025-ER-0529905</t>
  </si>
  <si>
    <t>2025-ER-0528378</t>
  </si>
  <si>
    <t>2025-ER-0514399</t>
  </si>
  <si>
    <t>2025-ER-0510719</t>
  </si>
  <si>
    <t>2025-ER-0509952</t>
  </si>
  <si>
    <t xml:space="preserve">2025-ER-0523916 </t>
  </si>
  <si>
    <t>Monitoreo de Calidad – 24/10/2025 (Gestión del 21/11/2025):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una oportunidad de mejora en la presentación del comunicado enviado al ciudadano. En particular, se observó la ausencia de espacios entre el saludo y el párrafo introductorio, lo que afecta la correcta estructura visual del mensaje.
Para garantizar el cumplimiento de los protocolos establecidos y proyectar una imagen profesional tanto del documento como de la entidad, se recomienda:
Mantener una separación adecuada entre el saludo y el inicio del contenido.
Cuidar la presentación general del texto para asegurar claridad y orden.dad.</t>
  </si>
  <si>
    <t>Presentación incorrecta del comunicado de respuesta</t>
  </si>
  <si>
    <t>Revisar detalladamente antes de enviar, no entiendo que pasó. Siempre envío correctamente mis respuestas. </t>
  </si>
  <si>
    <t>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</si>
  <si>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</si>
  <si>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2025-ER-0377634</t>
  </si>
  <si>
    <t>2025-ER-0511474</t>
  </si>
  <si>
    <t>2025-ER-0527882</t>
  </si>
  <si>
    <t>CS-25-194113</t>
  </si>
  <si>
    <t>2025-ER-0518726</t>
  </si>
  <si>
    <t>2025-ER-0468497</t>
  </si>
  <si>
    <t>2025-ER-0518071</t>
  </si>
  <si>
    <t>2025-ER-0533874</t>
  </si>
  <si>
    <t>2025-ER-0535741</t>
  </si>
  <si>
    <t>2025-ER-0504471</t>
  </si>
  <si>
    <t>2025-ER-0532321</t>
  </si>
  <si>
    <t>2025-ER-0536760</t>
  </si>
  <si>
    <t>SOL976407</t>
  </si>
  <si>
    <t>2025-ER-0509480</t>
  </si>
  <si>
    <t>2025-ER-0523602</t>
  </si>
  <si>
    <t>2025-ER-0528936</t>
  </si>
  <si>
    <t>2025-ER-0530818</t>
  </si>
  <si>
    <t>2025-ER-0512038</t>
  </si>
  <si>
    <t>2025-ER-0517169</t>
  </si>
  <si>
    <t>2025-ER-0528278</t>
  </si>
  <si>
    <t>2025-ER-0532936</t>
  </si>
  <si>
    <t>2025-ER-0534920</t>
  </si>
  <si>
    <t>2025-ER-0531228</t>
  </si>
  <si>
    <t>2025-ER-0501457</t>
  </si>
  <si>
    <t xml:space="preserve">2025-ER-0524074  </t>
  </si>
  <si>
    <t>2025-ER-0524862</t>
  </si>
  <si>
    <t>CS-25-194192</t>
  </si>
  <si>
    <t>CS-25-194236</t>
  </si>
  <si>
    <t>CS-25-194244</t>
  </si>
  <si>
    <t>2025-ER-0508900</t>
  </si>
  <si>
    <t>2025-ER-0521172</t>
  </si>
  <si>
    <t>2025-ER-0523125</t>
  </si>
  <si>
    <t>2025-ER-0510682</t>
  </si>
  <si>
    <t>2025-ER-0530756</t>
  </si>
  <si>
    <t>2025-ER-0513288</t>
  </si>
  <si>
    <t>2025-ER-0536569</t>
  </si>
  <si>
    <t>2025-ER-0519205</t>
  </si>
  <si>
    <t>2025-ER-0505955</t>
  </si>
  <si>
    <t>2025-ER-0536544</t>
  </si>
  <si>
    <t>2025-ER-0535651</t>
  </si>
  <si>
    <t>2025-ER-0512052</t>
  </si>
  <si>
    <t>2025-ER-0524071</t>
  </si>
  <si>
    <t>2025-ER-0526461</t>
  </si>
  <si>
    <t>2025-ER-0532162</t>
  </si>
  <si>
    <t>2025-ER-0536244</t>
  </si>
  <si>
    <t>2025-ER-0523302</t>
  </si>
  <si>
    <t>2025-ER-0533507</t>
  </si>
  <si>
    <t>2025-ER-0533678</t>
  </si>
  <si>
    <t>2025-ER-0533564</t>
  </si>
  <si>
    <t>2025-ER-0535706</t>
  </si>
  <si>
    <t>2025-ER-0531012</t>
  </si>
  <si>
    <t>2025-ER-0533167</t>
  </si>
  <si>
    <t>2025-ER-0506659</t>
  </si>
  <si>
    <t>2025-ER-0522132</t>
  </si>
  <si>
    <t>2025-ER-0527576</t>
  </si>
  <si>
    <t>2025-ER-0528990</t>
  </si>
  <si>
    <t>CS-25-194333</t>
  </si>
  <si>
    <t>CS-25-194340</t>
  </si>
  <si>
    <t>CS-25-194342</t>
  </si>
  <si>
    <t>SOL991965</t>
  </si>
  <si>
    <t>2025-ER-0524803</t>
  </si>
  <si>
    <t>2025-ER-0533827</t>
  </si>
  <si>
    <t>2025-ER-0463956</t>
  </si>
  <si>
    <t>2025-ER-0227792</t>
  </si>
  <si>
    <t>2025-ER-0362389</t>
  </si>
  <si>
    <t>2025-ER-0518940</t>
  </si>
  <si>
    <t>2025-ER-0536672</t>
  </si>
  <si>
    <t>2025-ER-0538378</t>
  </si>
  <si>
    <t>2025-ER-0522025</t>
  </si>
  <si>
    <t>2025-ER-0531275</t>
  </si>
  <si>
    <t>2025-ER-0533599</t>
  </si>
  <si>
    <t>2025-ER-0536070</t>
  </si>
  <si>
    <t>2025-ER-0517086</t>
  </si>
  <si>
    <t>2025-ER-0522037</t>
  </si>
  <si>
    <t>2025-ER-0487583</t>
  </si>
  <si>
    <t>2025-ER-0536087</t>
  </si>
  <si>
    <t>2025-ER-0530092</t>
  </si>
  <si>
    <t>2025-ER-0537825</t>
  </si>
  <si>
    <t>2025-ER-0536870</t>
  </si>
  <si>
    <t>2025-ER-0538974</t>
  </si>
  <si>
    <t>2025-ER-0523910</t>
  </si>
  <si>
    <t>2025-ER-0455284</t>
  </si>
  <si>
    <t xml:space="preserve">2025-ER-0532250 </t>
  </si>
  <si>
    <t>2025-ER-0533307</t>
  </si>
  <si>
    <t>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</si>
  <si>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</si>
  <si>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
•	Presentación clara y ordenada: La comunicación de salida refleja una estructura coherente y profesional, lo que contribuye a la comprensión del mensaje por parte del ciudadano, (se recomienda hacer uso correcto de los espacios entre párrafos).
•	Cumplimiento de lineamientos: Se observa un uso correcto de las plantillas, garantizando uniformidad y consistencia en la gestión.
•	Actitud proactiva: La respuesta proyecta compromiso con la calidad y atención al detalle, lo que fortalece la imagen institucional.
En general, la gestión demuestra solidez en la aplicación de los lineamientos y una buena base en la redacción. Con pequeños ajustes en el tono y la conexión emocional, se puede elevar aún más la experiencia del ciudadano y consolidar la excelencia en el servicio.</t>
  </si>
  <si>
    <t>Monitoreo de Calidad – 26/10/2025 (Gestión del 25/11/2025):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que la respuesta enviada al ciudadano presenta dificultades en la redacción, específicamente por la ausencia de mayúsculas iniciales en nombres propios, como ocurre al citar normatividad. Este detalle afecta la presentación y la imagen profesional de la comunicación.
Por ejemplo, en el texto actual se indica:
En especial, recomendamos analizar los estatutos protocolizados a través de la escritura pública 2163 del 19 de abril de 2018 de la notaría 62 de Bogotá, en cuyo artículo 3°, el cual se encuentra contenido en la página 16 de los estatutos en cita, (...).
Lo correcto sería:
En especial, recomendamos analizar los estatutos protocolizados a través de la Escritura Pública 2163 del 19 de abril de 2018 de la Notaría 62 de Bogotá, en cuyo Artículo 3°, el cual se encuentra contenido en la página 16 de los estatutos en cita, (...).
Recomendaciones para fortalecer la calidad:
Verificar el uso adecuado de mayúsculas en nombres propios y términos normativos, (para esto se adjunta infografía del tema).
Mantener la coherencia y cuidado en la presentación para proyectar profesionalismo y cumplir con los protocolos establecidos.
Hay que asegurar que la comunicación sea clara, profesional y cercana.</t>
  </si>
  <si>
    <t>Uso correcto de mayúsculas en nombres propios</t>
  </si>
  <si>
    <t>Monitoreo de Calidad – 27/11/2025 (Gestión del 26/11/2025):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que la respuesta enviada al ciudadano presenta dificultades en la redacción, específicamente por el uso excesivo de mayúsculas. Al tratarse de nombres propios, se debe emplear únicamente la mayúscula inicial, evitando resaltar palabras innecesariamente.
Este detalle no solo afecta la presentación del documento, sino que puede transmitir una percepción inadecuada, dando más relevancia a ciertos términos que a la misma subdirección.
Recomendaciones para fortalecer la calidad:
Utilizar mayúsculas únicamente en la primera letra de nombres propios y términos normativos.
Mantener una estructura equilibrada y profesional que proyecte empatía y claridad en la comunicación.
Estas mejoras contribuirán a una presentación más ordenada y alineada con los protocolos establecidos.</t>
  </si>
  <si>
    <t>Monitoreo de Calidad – 28/11/2025 (Gestión del 27/11/2025):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que la respuesta enviada al ciudadano presenta dificultades en la redacción, principalmente por la falta de tildes y por no mantener el estilo profesional esperado en la comunicación.
Además, se observó el uso de expresiones que pueden generar dudas sobre su adecuación en contextos formales, como “con relación a”, que aunque es correcta, se percibe menos natural que “en relación con”, recomendada para una comunicación clara y profesional.
Ejemplos:
Correcto: En relación con el informe, se tomarán medidas correctivas.
Menos recomendado: Con relación a tu consulta, adjunto la documentación solicitada.
Recomendaciones para fortalecer la calidad:
Verificar el uso adecuado de tildes en todo el texto.
Emplear expresiones más naturales y frecuentes en contextos formales, como “en relación con”, para proyectar profesionalismo y claridad.
Estas mejoras contribuirán a una comunicación más coherente, empática y alineada con los estándares institucionales.</t>
  </si>
  <si>
    <t>Redacción y uso correcto de las tildes</t>
  </si>
  <si>
    <t>Monitoreo de Calidad – 28/11/2025 (Gestión del 27/11/2025): Gracias por tu gestión y por el esfuerzo en atender la solicitud del ciudadano. Durante la validación del comunicado, identificamos aspectos positivos y oportunidades para seguir fortaleciendo la calidad del servicio:
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Se identificó oportunidad de mejora relacionada con la presentación del comunicado, específicamente en el uso adecuado de los espacios entre párrafos. Cuando no se respetan estos espacios, la estructura visual se ve afectada y puede transmitir una percepción poco profesional, reduciendo la claridad y la empatía del mensaje.
Recomendaciones para fortalecer la calidad:
Asegurar una separación adecuada entre párrafos para facilitar la lectura y proyectar una imagen ordenada y coherente.
Mantener una presentación que refleje los estándares de calidad y la imagen institucional.
Validar plantillas y proyecto de respuesta del RAD  2025-ER-0362389, el cual también presenta oportunidad de mejora.
Estas mejoras contribuirán a fortalecer la experiencia del ciudadano y la percepción positiva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</si>
</sst>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240A]dd/mm/yyyy"/>
    <numFmt numFmtId="165" formatCode="dd/mm/yy;@"/>
    <numFmt numFmtId="166" formatCode="0.0%"/>
    <numFmt numFmtId="167" formatCode="_(* #,##0.00_);_(* \(#,##0.00\);_(* &quot;-&quot;??_);_(@_)"/>
    <numFmt numFmtId="168" formatCode="[$-240A]General"/>
  </numFmts>
  <fonts count="56" x14ac:knownFonts="1">
    <font>
      <sz val="11"/>
      <color theme="1"/>
      <name val="Calibri"/>
      <family val="2"/>
      <scheme val="minor"/>
    </font>
    <font>
      <sz val="8"/>
      <color rgb="FF000000"/>
      <name val="Open Sans"/>
      <family val="2"/>
      <charset val="1"/>
    </font>
    <font>
      <b/>
      <sz val="8"/>
      <color rgb="FF000000"/>
      <name val="Open Sans"/>
      <family val="2"/>
      <charset val="1"/>
    </font>
    <font>
      <b/>
      <sz val="8"/>
      <color rgb="FFFFFFFF"/>
      <name val="Open Sans"/>
      <family val="2"/>
      <charset val="1"/>
    </font>
    <font>
      <b/>
      <sz val="8"/>
      <name val="Open Sans"/>
      <family val="2"/>
      <charset val="1"/>
    </font>
    <font>
      <sz val="9"/>
      <color theme="1"/>
      <name val="Century Gothic"/>
      <family val="2"/>
    </font>
    <font>
      <sz val="11"/>
      <color theme="1"/>
      <name val="Open Sans"/>
      <family val="2"/>
    </font>
    <font>
      <b/>
      <sz val="9"/>
      <color theme="0"/>
      <name val="Century Gothic"/>
      <family val="2"/>
    </font>
    <font>
      <sz val="10"/>
      <color theme="1"/>
      <name val="Century Gothic"/>
      <family val="2"/>
    </font>
    <font>
      <sz val="10"/>
      <color theme="1"/>
      <name val="Open Sans"/>
      <family val="2"/>
    </font>
    <font>
      <sz val="8"/>
      <name val="Open Sans"/>
      <family val="2"/>
      <charset val="1"/>
    </font>
    <font>
      <sz val="8"/>
      <color theme="1"/>
      <name val="Open Sans"/>
      <family val="2"/>
    </font>
    <font>
      <b/>
      <sz val="8"/>
      <color theme="1"/>
      <name val="Open Sans"/>
      <family val="2"/>
    </font>
    <font>
      <b/>
      <sz val="9"/>
      <color theme="1"/>
      <name val="Century Gothic"/>
      <family val="2"/>
    </font>
    <font>
      <b/>
      <sz val="11"/>
      <color theme="1"/>
      <name val="Calibri"/>
      <family val="2"/>
      <scheme val="minor"/>
    </font>
    <font>
      <sz val="11"/>
      <name val="Calibri"/>
      <family val="2"/>
      <scheme val="minor"/>
    </font>
    <font>
      <b/>
      <sz val="11"/>
      <name val="Calibri"/>
      <family val="2"/>
      <scheme val="minor"/>
    </font>
    <font>
      <b/>
      <sz val="12"/>
      <color rgb="FFFFFFFF"/>
      <name val="Arial"/>
      <family val="2"/>
    </font>
    <font>
      <sz val="10"/>
      <name val="Arial"/>
      <family val="2"/>
    </font>
    <font>
      <sz val="9"/>
      <name val="Century Gothic"/>
      <family val="2"/>
    </font>
    <font>
      <sz val="11"/>
      <color rgb="FF000000"/>
      <name val="Calibri"/>
      <family val="2"/>
    </font>
    <font>
      <sz val="12"/>
      <color theme="1"/>
      <name val="Open Sans"/>
      <family val="2"/>
    </font>
    <font>
      <sz val="11"/>
      <color indexed="8"/>
      <name val="Calibri"/>
      <family val="2"/>
      <scheme val="minor"/>
    </font>
    <font>
      <sz val="11"/>
      <color indexed="8"/>
      <name val="Calibri"/>
      <family val="2"/>
    </font>
    <font>
      <b/>
      <sz val="12"/>
      <color theme="0"/>
      <name val="Arial"/>
      <family val="2"/>
    </font>
    <font>
      <sz val="10"/>
      <color rgb="FF333333"/>
      <name val="Arial"/>
      <family val="2"/>
    </font>
    <font>
      <b/>
      <sz val="11"/>
      <color theme="0"/>
      <name val="Calibri"/>
      <family val="2"/>
      <scheme val="minor"/>
    </font>
    <font>
      <b/>
      <sz val="12"/>
      <color theme="0"/>
      <name val="Calibri"/>
      <family val="2"/>
      <scheme val="minor"/>
    </font>
    <font>
      <sz val="9"/>
      <color theme="1"/>
      <name val="Calibri"/>
      <family val="2"/>
      <scheme val="minor"/>
    </font>
    <font>
      <sz val="11"/>
      <color theme="1"/>
      <name val="Calibri"/>
      <family val="2"/>
      <scheme val="minor"/>
    </font>
    <font>
      <b/>
      <sz val="14"/>
      <color theme="0"/>
      <name val="Calibri"/>
      <family val="2"/>
      <scheme val="minor"/>
    </font>
    <font>
      <b/>
      <sz val="14"/>
      <color theme="1"/>
      <name val="Calibri"/>
      <family val="2"/>
      <scheme val="minor"/>
    </font>
    <font>
      <b/>
      <sz val="11"/>
      <color theme="1"/>
      <name val="Open Sans"/>
      <family val="2"/>
    </font>
    <font>
      <sz val="11"/>
      <color theme="1"/>
      <name val="Open Sans"/>
      <family val="2"/>
    </font>
    <font>
      <sz val="11"/>
      <color rgb="FF000000"/>
      <name val="Open Sans"/>
      <family val="2"/>
    </font>
    <font>
      <sz val="11"/>
      <color indexed="8"/>
      <name val="Open Sans"/>
      <family val="2"/>
    </font>
    <font>
      <b/>
      <sz val="24"/>
      <color theme="1"/>
      <name val="Calibri"/>
      <family val="2"/>
      <scheme val="minor"/>
    </font>
    <font>
      <sz val="11"/>
      <color indexed="8"/>
      <name val="Open Sans"/>
      <family val="2"/>
    </font>
    <font>
      <b/>
      <sz val="12"/>
      <color theme="1"/>
      <name val="Open Sans"/>
      <family val="2"/>
    </font>
    <font>
      <b/>
      <sz val="12"/>
      <color theme="0"/>
      <name val="Open Sans"/>
      <family val="2"/>
    </font>
    <font>
      <b/>
      <sz val="12"/>
      <name val="Open Sans"/>
      <family val="2"/>
    </font>
    <font>
      <sz val="12"/>
      <name val="Open Sans"/>
      <family val="2"/>
    </font>
    <font>
      <b/>
      <sz val="16"/>
      <color theme="1"/>
      <name val="Calibri"/>
      <family val="2"/>
      <scheme val="minor"/>
    </font>
    <font>
      <b/>
      <sz val="24"/>
      <color theme="8" tint="0.79998168889431442"/>
      <name val="Calibri"/>
      <family val="2"/>
      <scheme val="minor"/>
    </font>
    <font>
      <b/>
      <sz val="12"/>
      <color theme="1"/>
      <name val="Open Sans"/>
      <family val="2"/>
    </font>
    <font>
      <b/>
      <sz val="12"/>
      <color theme="0"/>
      <name val="Open Sans"/>
      <family val="2"/>
    </font>
    <font>
      <b/>
      <sz val="10"/>
      <color theme="1"/>
      <name val="Century Gothic"/>
      <family val="2"/>
    </font>
    <font>
      <b/>
      <sz val="11"/>
      <color theme="0"/>
      <name val="Century Gothic"/>
      <family val="2"/>
    </font>
    <font>
      <b/>
      <i/>
      <sz val="12"/>
      <color theme="1"/>
      <name val="Mystical Woods Smooth Script"/>
    </font>
    <font>
      <b/>
      <sz val="11"/>
      <color theme="0"/>
      <name val="Open Sans"/>
      <family val="2"/>
    </font>
    <font>
      <sz val="10"/>
      <name val="Arial"/>
      <family val="2"/>
    </font>
    <font>
      <sz val="10"/>
      <color rgb="FF333333"/>
      <name val="Arial"/>
      <family val="2"/>
    </font>
    <font>
      <b/>
      <i/>
      <sz val="12"/>
      <color theme="1"/>
      <name val="Open Sans"/>
      <family val="2"/>
    </font>
    <font>
      <sz val="10"/>
      <color theme="1"/>
      <name val="Open Sans"/>
    </font>
    <font>
      <sz val="10"/>
      <name val="Arial"/>
    </font>
    <font>
      <sz val="10"/>
      <color rgb="FF333333"/>
      <name val="Arial"/>
    </font>
  </fonts>
  <fills count="26">
    <fill>
      <patternFill patternType="none"/>
    </fill>
    <fill>
      <patternFill patternType="gray125"/>
    </fill>
    <fill>
      <patternFill patternType="solid">
        <fgColor theme="0"/>
        <bgColor indexed="64"/>
      </patternFill>
    </fill>
    <fill>
      <patternFill patternType="solid">
        <fgColor theme="0" tint="-0.34995574816125979"/>
        <bgColor indexed="64"/>
      </patternFill>
    </fill>
    <fill>
      <patternFill patternType="solid">
        <fgColor rgb="FF002060"/>
        <bgColor indexed="64"/>
      </patternFill>
    </fill>
    <fill>
      <patternFill patternType="solid">
        <fgColor theme="0"/>
        <bgColor indexed="64"/>
      </patternFill>
    </fill>
    <fill>
      <patternFill patternType="solid">
        <fgColor rgb="FF0070C0"/>
        <bgColor indexed="64"/>
      </patternFill>
    </fill>
    <fill>
      <patternFill patternType="solid">
        <fgColor indexed="9"/>
        <bgColor indexed="64"/>
      </patternFill>
    </fill>
    <fill>
      <patternFill patternType="solid">
        <fgColor theme="0" tint="-0.14996795556505021"/>
        <bgColor indexed="64"/>
      </patternFill>
    </fill>
    <fill>
      <patternFill patternType="solid">
        <fgColor theme="4" tint="0.39997558519241921"/>
        <bgColor indexed="64"/>
      </patternFill>
    </fill>
    <fill>
      <patternFill patternType="solid">
        <fgColor theme="4" tint="0.39997558519241921"/>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24994659260841701"/>
        <bgColor indexed="64"/>
      </patternFill>
    </fill>
    <fill>
      <patternFill patternType="solid">
        <fgColor theme="4" tint="-0.24994659260841701"/>
        <bgColor indexed="64"/>
      </patternFill>
    </fill>
    <fill>
      <patternFill patternType="solid">
        <fgColor theme="4" tint="0.39997558519241921"/>
        <bgColor indexed="64"/>
      </patternFill>
    </fill>
    <fill>
      <patternFill patternType="solid">
        <fgColor theme="4" tint="-0.24994659260841701"/>
        <bgColor indexed="64"/>
      </patternFill>
    </fill>
    <fill>
      <patternFill patternType="solid">
        <fgColor rgb="FFF2F2F2"/>
        <bgColor indexed="64"/>
      </patternFill>
    </fill>
    <fill>
      <patternFill patternType="solid">
        <fgColor rgb="FF0076A8"/>
        <bgColor indexed="64"/>
      </patternFill>
    </fill>
    <fill>
      <patternFill patternType="solid">
        <fgColor rgb="FF0076A8"/>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249977111117893"/>
        <bgColor indexed="64"/>
      </patternFill>
    </fill>
    <fill>
      <patternFill patternType="solid">
        <fgColor rgb="FFFFC000"/>
        <bgColor indexed="64"/>
      </patternFill>
    </fill>
    <fill>
      <patternFill patternType="solid">
        <fgColor rgb="FFFFFF00"/>
        <bgColor indexed="64"/>
      </patternFill>
    </fill>
  </fills>
  <borders count="55">
    <border>
      <left/>
      <right/>
      <top/>
      <bottom/>
      <diagonal/>
    </border>
    <border>
      <left style="hair">
        <color auto="1"/>
      </left>
      <right/>
      <top/>
      <bottom/>
      <diagonal/>
    </border>
    <border>
      <left style="hair">
        <color auto="1"/>
      </left>
      <right/>
      <top style="hair">
        <color auto="1"/>
      </top>
      <bottom style="hair">
        <color auto="1"/>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thin">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hair">
        <color auto="1"/>
      </left>
      <right style="hair">
        <color auto="1"/>
      </right>
      <top/>
      <bottom/>
      <diagonal/>
    </border>
    <border>
      <left/>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bottom/>
      <diagonal/>
    </border>
    <border>
      <left style="medium">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indexed="64"/>
      </left>
      <right/>
      <top style="medium">
        <color indexed="64"/>
      </top>
      <bottom style="hair">
        <color auto="1"/>
      </bottom>
      <diagonal/>
    </border>
    <border>
      <left style="medium">
        <color indexed="64"/>
      </left>
      <right/>
      <top style="hair">
        <color auto="1"/>
      </top>
      <bottom style="hair">
        <color auto="1"/>
      </bottom>
      <diagonal/>
    </border>
    <border>
      <left style="medium">
        <color auto="1"/>
      </left>
      <right/>
      <top style="hair">
        <color auto="1"/>
      </top>
      <bottom style="medium">
        <color auto="1"/>
      </bottom>
      <diagonal/>
    </border>
  </borders>
  <cellStyleXfs count="79">
    <xf numFmtId="0" fontId="0" fillId="0" borderId="0"/>
    <xf numFmtId="9" fontId="29" fillId="0" borderId="0" applyFont="0" applyFill="0" applyBorder="0" applyAlignment="0" applyProtection="0"/>
    <xf numFmtId="167" fontId="29"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0" fillId="0" borderId="0"/>
    <xf numFmtId="168" fontId="2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Border="0" applyProtection="0"/>
    <xf numFmtId="0" fontId="23" fillId="0" borderId="0"/>
  </cellStyleXfs>
  <cellXfs count="523">
    <xf numFmtId="0" fontId="0" fillId="0" borderId="0" xfId="0"/>
    <xf numFmtId="0" fontId="0" fillId="0" borderId="0" xfId="0" applyProtection="1">
      <protection locked="0"/>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1" fillId="0" borderId="0" xfId="0" applyFont="1" applyProtection="1">
      <protection locked="0"/>
    </xf>
    <xf numFmtId="0" fontId="2"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vertical="center" wrapText="1"/>
      <protection locked="0"/>
    </xf>
    <xf numFmtId="0" fontId="1" fillId="0" borderId="1" xfId="0" applyFont="1" applyBorder="1" applyProtection="1">
      <protection locked="0"/>
    </xf>
    <xf numFmtId="0" fontId="1" fillId="0" borderId="3" xfId="0" applyFont="1" applyBorder="1" applyProtection="1">
      <protection locked="0"/>
    </xf>
    <xf numFmtId="0" fontId="1" fillId="0" borderId="0" xfId="0" applyFont="1" applyAlignment="1" applyProtection="1">
      <alignment horizontal="center"/>
      <protection locked="0"/>
    </xf>
    <xf numFmtId="0" fontId="3"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1"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4" fillId="0" borderId="6" xfId="0" applyFont="1" applyBorder="1" applyAlignment="1" applyProtection="1">
      <alignment vertical="center" wrapText="1"/>
      <protection hidden="1"/>
    </xf>
    <xf numFmtId="0" fontId="5" fillId="2" borderId="6" xfId="3" applyFont="1" applyFill="1" applyBorder="1" applyAlignment="1">
      <alignment horizontal="left" vertical="center" wrapText="1"/>
    </xf>
    <xf numFmtId="0" fontId="5" fillId="2" borderId="6" xfId="3" applyFont="1" applyFill="1" applyBorder="1" applyAlignment="1">
      <alignment horizontal="center" vertical="center" wrapText="1"/>
    </xf>
    <xf numFmtId="0" fontId="0" fillId="0" borderId="0" xfId="0" applyAlignment="1">
      <alignment wrapText="1"/>
    </xf>
    <xf numFmtId="0" fontId="5" fillId="3" borderId="6" xfId="3" applyFont="1" applyFill="1" applyBorder="1" applyAlignment="1">
      <alignment horizontal="center" vertical="center" wrapText="1"/>
    </xf>
    <xf numFmtId="0" fontId="11" fillId="0" borderId="7" xfId="0" applyFont="1" applyBorder="1" applyAlignment="1" applyProtection="1">
      <alignment vertical="center"/>
      <protection locked="0"/>
    </xf>
    <xf numFmtId="0" fontId="11" fillId="0" borderId="8" xfId="0" applyFont="1" applyBorder="1" applyAlignment="1" applyProtection="1">
      <alignment vertical="center"/>
      <protection locked="0"/>
    </xf>
    <xf numFmtId="0" fontId="11" fillId="0" borderId="9"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3" xfId="0" applyFont="1" applyBorder="1" applyAlignment="1" applyProtection="1">
      <alignment vertical="center"/>
      <protection locked="0"/>
    </xf>
    <xf numFmtId="0" fontId="11" fillId="0" borderId="4"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13" fillId="3" borderId="6" xfId="3" applyFont="1" applyFill="1" applyBorder="1" applyAlignment="1">
      <alignment horizontal="center" vertical="center" wrapText="1"/>
    </xf>
    <xf numFmtId="0" fontId="19" fillId="2" borderId="6" xfId="3" applyFont="1" applyFill="1" applyBorder="1" applyAlignment="1">
      <alignment horizontal="left" vertical="center" wrapText="1"/>
    </xf>
    <xf numFmtId="0" fontId="0" fillId="2" borderId="0" xfId="0" applyFill="1"/>
    <xf numFmtId="0" fontId="7" fillId="4" borderId="12" xfId="3" applyFont="1" applyFill="1" applyBorder="1" applyAlignment="1">
      <alignment horizontal="center" vertical="center" wrapText="1"/>
    </xf>
    <xf numFmtId="0" fontId="7" fillId="4" borderId="6" xfId="3" applyFont="1" applyFill="1" applyBorder="1" applyAlignment="1">
      <alignment horizontal="center" vertical="center"/>
    </xf>
    <xf numFmtId="0" fontId="9"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9" fillId="0" borderId="0" xfId="0" applyFont="1" applyProtection="1">
      <protection locked="0"/>
    </xf>
    <xf numFmtId="0" fontId="17" fillId="6" borderId="10"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9" fillId="2" borderId="6" xfId="0" applyFont="1" applyFill="1" applyBorder="1" applyAlignment="1" applyProtection="1">
      <alignment horizontal="center"/>
      <protection locked="0"/>
    </xf>
    <xf numFmtId="9" fontId="9" fillId="2" borderId="6" xfId="1" applyFont="1" applyFill="1" applyBorder="1" applyAlignment="1" applyProtection="1">
      <alignment horizontal="center" vertical="center"/>
      <protection hidden="1"/>
    </xf>
    <xf numFmtId="9" fontId="9" fillId="2" borderId="6" xfId="1" applyFont="1" applyFill="1" applyBorder="1" applyAlignment="1" applyProtection="1">
      <alignment horizontal="center"/>
      <protection locked="0"/>
    </xf>
    <xf numFmtId="0" fontId="9" fillId="2" borderId="6"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protection locked="0"/>
    </xf>
    <xf numFmtId="0" fontId="9" fillId="2" borderId="12" xfId="0" applyFont="1" applyFill="1" applyBorder="1" applyAlignment="1" applyProtection="1">
      <alignment horizontal="center"/>
      <protection hidden="1"/>
    </xf>
    <xf numFmtId="0" fontId="9" fillId="2" borderId="6" xfId="0" applyFont="1" applyFill="1" applyBorder="1" applyAlignment="1" applyProtection="1">
      <alignment horizontal="center"/>
      <protection hidden="1"/>
    </xf>
    <xf numFmtId="0" fontId="9" fillId="2" borderId="0" xfId="0" applyFont="1" applyFill="1" applyProtection="1">
      <protection locked="0"/>
    </xf>
    <xf numFmtId="0" fontId="9" fillId="2" borderId="14" xfId="0" applyFont="1" applyFill="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6" xfId="0" applyFont="1" applyBorder="1" applyAlignment="1" applyProtection="1">
      <alignment horizontal="center" vertical="center"/>
      <protection locked="0"/>
    </xf>
    <xf numFmtId="0" fontId="9" fillId="0" borderId="6" xfId="0" applyFont="1" applyBorder="1" applyProtection="1">
      <protection locked="0"/>
    </xf>
    <xf numFmtId="0" fontId="0" fillId="0" borderId="6" xfId="0" applyBorder="1" applyAlignment="1">
      <alignment horizontal="center"/>
    </xf>
    <xf numFmtId="0" fontId="0" fillId="0" borderId="6" xfId="0" applyBorder="1"/>
    <xf numFmtId="0" fontId="9" fillId="2" borderId="6" xfId="0" applyFont="1" applyFill="1" applyBorder="1" applyAlignment="1" applyProtection="1">
      <alignment horizontal="center" vertical="center" wrapText="1"/>
      <protection locked="0"/>
    </xf>
    <xf numFmtId="0" fontId="9" fillId="0" borderId="2" xfId="0" applyFont="1" applyBorder="1" applyAlignment="1" applyProtection="1">
      <alignment horizontal="center"/>
      <protection hidden="1"/>
    </xf>
    <xf numFmtId="0" fontId="9" fillId="0" borderId="6" xfId="0" applyFont="1" applyBorder="1" applyAlignment="1" applyProtection="1">
      <alignment horizontal="center"/>
      <protection locked="0"/>
    </xf>
    <xf numFmtId="0" fontId="9" fillId="0" borderId="14" xfId="0" applyFont="1" applyBorder="1" applyAlignment="1" applyProtection="1">
      <alignment horizontal="center"/>
      <protection hidden="1"/>
    </xf>
    <xf numFmtId="0" fontId="9" fillId="0" borderId="14" xfId="0" applyFont="1" applyBorder="1" applyAlignment="1" applyProtection="1">
      <alignment horizontal="center"/>
      <protection locked="0"/>
    </xf>
    <xf numFmtId="0" fontId="9" fillId="0" borderId="14" xfId="0" applyFont="1" applyBorder="1" applyAlignment="1" applyProtection="1">
      <alignment horizontal="center" vertical="center"/>
      <protection locked="0"/>
    </xf>
    <xf numFmtId="14" fontId="0" fillId="2" borderId="6" xfId="0" applyNumberFormat="1" applyFill="1" applyBorder="1" applyAlignment="1">
      <alignment horizontal="center"/>
    </xf>
    <xf numFmtId="9" fontId="9" fillId="2" borderId="14" xfId="1" applyFont="1" applyFill="1" applyBorder="1" applyAlignment="1" applyProtection="1">
      <alignment horizontal="center"/>
      <protection locked="0"/>
    </xf>
    <xf numFmtId="14" fontId="18" fillId="2" borderId="6" xfId="0" applyNumberFormat="1" applyFont="1" applyFill="1" applyBorder="1" applyAlignment="1" applyProtection="1">
      <alignment horizontal="center"/>
      <protection locked="0"/>
    </xf>
    <xf numFmtId="0" fontId="17" fillId="9" borderId="13" xfId="0" applyFont="1" applyFill="1" applyBorder="1" applyAlignment="1">
      <alignment horizontal="center" vertical="center" wrapText="1"/>
    </xf>
    <xf numFmtId="0" fontId="24" fillId="10" borderId="0" xfId="0" applyFont="1" applyFill="1" applyAlignment="1">
      <alignment horizontal="center" vertical="center" wrapText="1"/>
    </xf>
    <xf numFmtId="0" fontId="16" fillId="11" borderId="6" xfId="0" applyFont="1" applyFill="1" applyBorder="1" applyAlignment="1">
      <alignment horizontal="center" vertical="center" wrapText="1"/>
    </xf>
    <xf numFmtId="0" fontId="24" fillId="13" borderId="13" xfId="0" applyFont="1" applyFill="1" applyBorder="1" applyAlignment="1">
      <alignment horizontal="center" vertical="center" wrapText="1"/>
    </xf>
    <xf numFmtId="9" fontId="9" fillId="0" borderId="6" xfId="1" applyFont="1" applyBorder="1" applyAlignment="1" applyProtection="1">
      <alignment horizontal="center"/>
      <protection locked="0"/>
    </xf>
    <xf numFmtId="0" fontId="26" fillId="14" borderId="6" xfId="0" applyFont="1" applyFill="1" applyBorder="1" applyAlignment="1">
      <alignment horizontal="center" vertical="center" wrapText="1"/>
    </xf>
    <xf numFmtId="0" fontId="27" fillId="15" borderId="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2" borderId="11" xfId="0" applyFill="1" applyBorder="1" applyAlignment="1">
      <alignment horizontal="center" vertical="center" wrapText="1"/>
    </xf>
    <xf numFmtId="0" fontId="28" fillId="2" borderId="18" xfId="75" applyFont="1" applyFill="1" applyBorder="1" applyAlignment="1">
      <alignment horizontal="center" vertical="center" wrapText="1"/>
    </xf>
    <xf numFmtId="0" fontId="28" fillId="2" borderId="19" xfId="75" applyFont="1" applyFill="1" applyBorder="1" applyAlignment="1">
      <alignment horizontal="center" vertical="center" wrapText="1"/>
    </xf>
    <xf numFmtId="0" fontId="28" fillId="2" borderId="20" xfId="75" applyFont="1" applyFill="1" applyBorder="1" applyAlignment="1">
      <alignment horizontal="center" vertical="center" wrapText="1"/>
    </xf>
    <xf numFmtId="0" fontId="14" fillId="2" borderId="21" xfId="75" applyFont="1" applyFill="1" applyBorder="1" applyAlignment="1">
      <alignment horizontal="center" vertical="center" wrapText="1"/>
    </xf>
    <xf numFmtId="0" fontId="14" fillId="2" borderId="22" xfId="75" applyFont="1" applyFill="1" applyBorder="1" applyAlignment="1">
      <alignment horizontal="center" vertical="center" wrapText="1"/>
    </xf>
    <xf numFmtId="0" fontId="14" fillId="2" borderId="16" xfId="75" applyFont="1" applyFill="1" applyBorder="1" applyAlignment="1">
      <alignment horizontal="center" vertical="center" wrapText="1"/>
    </xf>
    <xf numFmtId="0" fontId="14" fillId="2" borderId="11" xfId="75" applyFont="1" applyFill="1" applyBorder="1" applyAlignment="1">
      <alignment horizontal="center" vertical="center" wrapText="1"/>
    </xf>
    <xf numFmtId="0" fontId="0" fillId="2" borderId="0" xfId="0" applyFill="1" applyAlignment="1">
      <alignment wrapText="1"/>
    </xf>
    <xf numFmtId="0" fontId="14" fillId="2" borderId="17" xfId="75" applyFont="1" applyFill="1" applyBorder="1" applyAlignment="1">
      <alignment horizontal="center" vertical="center" wrapText="1"/>
    </xf>
    <xf numFmtId="0" fontId="14" fillId="2" borderId="28" xfId="75" applyFont="1" applyFill="1" applyBorder="1" applyAlignment="1">
      <alignment horizontal="center" vertical="center" wrapText="1"/>
    </xf>
    <xf numFmtId="0" fontId="0" fillId="2" borderId="36" xfId="0" applyFill="1" applyBorder="1" applyAlignment="1">
      <alignment horizontal="center" vertical="center" wrapText="1"/>
    </xf>
    <xf numFmtId="0" fontId="28" fillId="2" borderId="37" xfId="75" applyFont="1" applyFill="1" applyBorder="1" applyAlignment="1">
      <alignment horizontal="center" vertical="center" wrapText="1"/>
    </xf>
    <xf numFmtId="0" fontId="9" fillId="2" borderId="6" xfId="0"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locked="0"/>
    </xf>
    <xf numFmtId="14" fontId="0" fillId="2" borderId="6" xfId="0" applyNumberFormat="1" applyFill="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166" fontId="9" fillId="2" borderId="6" xfId="1" applyNumberFormat="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locked="0"/>
    </xf>
    <xf numFmtId="9" fontId="9" fillId="2" borderId="6" xfId="1" applyFont="1" applyFill="1" applyBorder="1" applyAlignment="1" applyProtection="1">
      <alignment horizontal="center" vertical="center" wrapText="1"/>
      <protection hidden="1"/>
    </xf>
    <xf numFmtId="9" fontId="9" fillId="2" borderId="6" xfId="0" applyNumberFormat="1"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6" xfId="0" applyFont="1" applyFill="1" applyBorder="1" applyAlignment="1" applyProtection="1">
      <alignment horizontal="center" vertical="center"/>
      <protection hidden="1"/>
    </xf>
    <xf numFmtId="0" fontId="9" fillId="2" borderId="6" xfId="0" applyFont="1" applyFill="1" applyBorder="1" applyAlignment="1" applyProtection="1">
      <alignment horizontal="center" wrapText="1"/>
      <protection locked="0"/>
    </xf>
    <xf numFmtId="9" fontId="9" fillId="2" borderId="6" xfId="1"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wrapText="1"/>
      <protection locked="0"/>
    </xf>
    <xf numFmtId="0" fontId="9" fillId="0" borderId="6" xfId="0" applyFont="1" applyBorder="1" applyAlignment="1" applyProtection="1">
      <alignment horizontal="center" wrapText="1"/>
      <protection locked="0" hidden="1"/>
    </xf>
    <xf numFmtId="0" fontId="9" fillId="5" borderId="6" xfId="0" applyFont="1" applyFill="1" applyBorder="1" applyAlignment="1" applyProtection="1">
      <alignment horizontal="center" vertical="center" wrapText="1"/>
      <protection locked="0"/>
    </xf>
    <xf numFmtId="0" fontId="14" fillId="20" borderId="38" xfId="75" applyFont="1" applyFill="1" applyBorder="1" applyAlignment="1">
      <alignment horizontal="center" vertical="center" wrapText="1"/>
    </xf>
    <xf numFmtId="0" fontId="14" fillId="20" borderId="24" xfId="75" applyFont="1" applyFill="1" applyBorder="1" applyAlignment="1">
      <alignment horizontal="center" vertical="center" wrapText="1"/>
    </xf>
    <xf numFmtId="9" fontId="14" fillId="20" borderId="23" xfId="1" applyFont="1" applyFill="1" applyBorder="1" applyAlignment="1">
      <alignment horizontal="center" vertical="center" wrapText="1"/>
    </xf>
    <xf numFmtId="0" fontId="0" fillId="0" borderId="40"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14" fillId="12" borderId="11" xfId="0" applyFont="1" applyFill="1" applyBorder="1" applyAlignment="1">
      <alignment horizontal="center" vertical="center" wrapText="1"/>
    </xf>
    <xf numFmtId="0" fontId="14" fillId="12" borderId="32" xfId="0" applyFont="1" applyFill="1" applyBorder="1" applyAlignment="1">
      <alignment horizontal="center" vertical="center" wrapText="1"/>
    </xf>
    <xf numFmtId="0" fontId="0" fillId="0" borderId="32" xfId="0" applyBorder="1" applyAlignment="1">
      <alignment horizontal="center" vertical="center"/>
    </xf>
    <xf numFmtId="0" fontId="0" fillId="0" borderId="24" xfId="0" applyBorder="1" applyAlignment="1">
      <alignment horizontal="center" vertical="center" wrapText="1"/>
    </xf>
    <xf numFmtId="0" fontId="0" fillId="0" borderId="24" xfId="0" applyBorder="1" applyAlignment="1">
      <alignment horizontal="center" vertical="center"/>
    </xf>
    <xf numFmtId="10" fontId="0" fillId="0" borderId="24" xfId="0" applyNumberFormat="1" applyBorder="1" applyAlignment="1">
      <alignment horizontal="center" vertical="center"/>
    </xf>
    <xf numFmtId="0" fontId="0" fillId="0" borderId="35" xfId="0" applyBorder="1"/>
    <xf numFmtId="0" fontId="14" fillId="0" borderId="11" xfId="0" pivotButton="1" applyFont="1" applyBorder="1" applyAlignment="1">
      <alignment horizontal="center" wrapText="1"/>
    </xf>
    <xf numFmtId="0" fontId="14" fillId="0" borderId="11" xfId="0" applyFont="1" applyBorder="1" applyAlignment="1">
      <alignment horizontal="center" vertical="center"/>
    </xf>
    <xf numFmtId="0" fontId="14" fillId="12" borderId="24" xfId="0" applyFont="1" applyFill="1" applyBorder="1" applyAlignment="1">
      <alignment horizontal="center" vertical="center" wrapText="1"/>
    </xf>
    <xf numFmtId="4" fontId="0" fillId="0" borderId="24" xfId="0" applyNumberFormat="1" applyBorder="1" applyAlignment="1">
      <alignment horizontal="center"/>
    </xf>
    <xf numFmtId="0" fontId="0" fillId="0" borderId="0" xfId="0" applyAlignment="1">
      <alignment horizontal="left" vertical="center" wrapText="1"/>
    </xf>
    <xf numFmtId="0" fontId="0" fillId="0" borderId="24" xfId="0" pivotButton="1" applyBorder="1" applyAlignment="1">
      <alignment horizontal="center" vertical="center"/>
    </xf>
    <xf numFmtId="0" fontId="33" fillId="0" borderId="0" xfId="0" applyFont="1"/>
    <xf numFmtId="0" fontId="33" fillId="0" borderId="11" xfId="0" applyFont="1" applyBorder="1" applyAlignment="1">
      <alignment horizontal="center"/>
    </xf>
    <xf numFmtId="0" fontId="33" fillId="0" borderId="11" xfId="0" applyFont="1" applyBorder="1" applyAlignment="1">
      <alignment horizontal="center" vertical="center"/>
    </xf>
    <xf numFmtId="0" fontId="33" fillId="0" borderId="0" xfId="0" applyFont="1" applyAlignment="1">
      <alignment horizontal="left"/>
    </xf>
    <xf numFmtId="0" fontId="33" fillId="0" borderId="0" xfId="0" applyFont="1" applyAlignment="1">
      <alignment horizontal="center"/>
    </xf>
    <xf numFmtId="14" fontId="33" fillId="0" borderId="0" xfId="0" applyNumberFormat="1" applyFont="1" applyAlignment="1">
      <alignment horizontal="center"/>
    </xf>
    <xf numFmtId="1" fontId="34" fillId="2" borderId="11" xfId="78" applyNumberFormat="1" applyFont="1" applyFill="1" applyBorder="1" applyAlignment="1">
      <alignment horizontal="center" vertical="center"/>
    </xf>
    <xf numFmtId="1" fontId="34" fillId="0" borderId="11" xfId="78" applyNumberFormat="1" applyFont="1" applyBorder="1" applyAlignment="1">
      <alignment horizontal="center" vertical="center"/>
    </xf>
    <xf numFmtId="0" fontId="34" fillId="2" borderId="11" xfId="78" applyFont="1" applyFill="1" applyBorder="1" applyAlignment="1">
      <alignment horizontal="center" vertical="center"/>
    </xf>
    <xf numFmtId="10" fontId="35" fillId="5" borderId="11" xfId="1" applyNumberFormat="1" applyFont="1" applyFill="1" applyBorder="1" applyAlignment="1">
      <alignment horizontal="center" vertical="top"/>
    </xf>
    <xf numFmtId="0" fontId="35" fillId="7" borderId="11" xfId="78" applyFont="1" applyFill="1" applyBorder="1" applyAlignment="1">
      <alignment horizontal="center" vertical="top"/>
    </xf>
    <xf numFmtId="1" fontId="35" fillId="5" borderId="11" xfId="78" applyNumberFormat="1" applyFont="1" applyFill="1" applyBorder="1" applyAlignment="1">
      <alignment horizontal="center" vertical="top"/>
    </xf>
    <xf numFmtId="1" fontId="35" fillId="2" borderId="11" xfId="78" applyNumberFormat="1" applyFont="1" applyFill="1" applyBorder="1" applyAlignment="1">
      <alignment horizontal="center" vertical="top"/>
    </xf>
    <xf numFmtId="0" fontId="35" fillId="0" borderId="11" xfId="78" applyFont="1" applyBorder="1" applyAlignment="1">
      <alignment horizontal="center" vertical="top"/>
    </xf>
    <xf numFmtId="1" fontId="35" fillId="0" borderId="11" xfId="78" applyNumberFormat="1" applyFont="1" applyBorder="1" applyAlignment="1">
      <alignment horizontal="center"/>
    </xf>
    <xf numFmtId="0" fontId="35" fillId="0" borderId="11" xfId="78" applyFont="1" applyBorder="1" applyAlignment="1">
      <alignment horizontal="center"/>
    </xf>
    <xf numFmtId="0" fontId="35" fillId="5" borderId="11" xfId="78" applyFont="1" applyFill="1" applyBorder="1" applyAlignment="1">
      <alignment horizontal="center" vertical="top"/>
    </xf>
    <xf numFmtId="0" fontId="33" fillId="0" borderId="11" xfId="0" applyFont="1" applyBorder="1" applyAlignment="1">
      <alignment horizontal="left" vertical="center"/>
    </xf>
    <xf numFmtId="0" fontId="32" fillId="8" borderId="11" xfId="0" applyFont="1" applyFill="1" applyBorder="1" applyAlignment="1">
      <alignment horizontal="center" vertical="center" wrapText="1"/>
    </xf>
    <xf numFmtId="0" fontId="32" fillId="0" borderId="0" xfId="0" applyFont="1" applyAlignment="1">
      <alignment horizontal="center" wrapText="1"/>
    </xf>
    <xf numFmtId="0" fontId="33" fillId="0" borderId="0" xfId="0" applyFont="1" applyAlignment="1">
      <alignment wrapText="1"/>
    </xf>
    <xf numFmtId="0" fontId="1" fillId="0" borderId="0" xfId="0" applyFont="1" applyAlignment="1" applyProtection="1">
      <alignment wrapText="1"/>
      <protection locked="0"/>
    </xf>
    <xf numFmtId="0" fontId="0" fillId="0" borderId="0" xfId="0" applyAlignment="1" applyProtection="1">
      <alignment wrapText="1"/>
      <protection locked="0"/>
    </xf>
    <xf numFmtId="10" fontId="35" fillId="5" borderId="11" xfId="1" applyNumberFormat="1" applyFont="1" applyFill="1" applyBorder="1" applyAlignment="1">
      <alignment horizontal="left" vertical="top"/>
    </xf>
    <xf numFmtId="14" fontId="9" fillId="0" borderId="0" xfId="0" applyNumberFormat="1" applyFont="1" applyAlignment="1" applyProtection="1">
      <alignment horizontal="center"/>
      <protection locked="0"/>
    </xf>
    <xf numFmtId="14" fontId="17" fillId="6" borderId="10" xfId="0" applyNumberFormat="1" applyFont="1" applyFill="1" applyBorder="1" applyAlignment="1">
      <alignment horizontal="center" vertical="center" wrapText="1"/>
    </xf>
    <xf numFmtId="14" fontId="0" fillId="0" borderId="6" xfId="0" applyNumberFormat="1" applyBorder="1" applyAlignment="1">
      <alignment horizontal="center"/>
    </xf>
    <xf numFmtId="14" fontId="25" fillId="0" borderId="6" xfId="0" applyNumberFormat="1" applyFont="1" applyBorder="1" applyAlignment="1" applyProtection="1">
      <alignment horizontal="center"/>
      <protection locked="0"/>
    </xf>
    <xf numFmtId="0" fontId="9" fillId="0" borderId="6"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6" fillId="0" borderId="0" xfId="0" applyFont="1" applyAlignment="1">
      <alignment wrapText="1"/>
    </xf>
    <xf numFmtId="0" fontId="6" fillId="0" borderId="0" xfId="0" applyFont="1"/>
    <xf numFmtId="0" fontId="17" fillId="6" borderId="13" xfId="0" applyFont="1" applyFill="1" applyBorder="1" applyAlignment="1">
      <alignment horizontal="center" vertical="center"/>
    </xf>
    <xf numFmtId="0" fontId="17" fillId="6" borderId="10" xfId="0" applyFont="1" applyFill="1" applyBorder="1" applyAlignment="1">
      <alignment horizontal="center" vertical="center"/>
    </xf>
    <xf numFmtId="0" fontId="9" fillId="2" borderId="12" xfId="0" applyFont="1" applyFill="1" applyBorder="1" applyAlignment="1" applyProtection="1">
      <alignment horizontal="center" vertical="center"/>
      <protection hidden="1"/>
    </xf>
    <xf numFmtId="10" fontId="14" fillId="0" borderId="24" xfId="0" applyNumberFormat="1" applyFont="1" applyBorder="1" applyAlignment="1">
      <alignment horizontal="center" vertical="center"/>
    </xf>
    <xf numFmtId="0" fontId="14" fillId="0" borderId="42" xfId="0" applyFont="1" applyBorder="1" applyAlignment="1">
      <alignment vertical="center"/>
    </xf>
    <xf numFmtId="0" fontId="14" fillId="0" borderId="0" xfId="0" applyFont="1" applyAlignment="1">
      <alignment vertical="center"/>
    </xf>
    <xf numFmtId="0" fontId="14" fillId="0" borderId="43" xfId="0" applyFont="1" applyBorder="1" applyAlignment="1">
      <alignment vertical="center"/>
    </xf>
    <xf numFmtId="0" fontId="14" fillId="0" borderId="24" xfId="0" applyFont="1" applyBorder="1" applyAlignment="1">
      <alignment horizontal="center" vertical="center" wrapText="1"/>
    </xf>
    <xf numFmtId="0" fontId="4" fillId="0" borderId="6" xfId="0" applyFont="1" applyBorder="1" applyAlignment="1" applyProtection="1">
      <alignment horizontal="center" vertical="center" wrapText="1"/>
      <protection hidden="1"/>
    </xf>
    <xf numFmtId="10" fontId="37" fillId="5" borderId="11" xfId="1" applyNumberFormat="1" applyFont="1" applyFill="1" applyBorder="1" applyAlignment="1">
      <alignment horizontal="left" vertical="top"/>
    </xf>
    <xf numFmtId="0" fontId="6" fillId="0" borderId="11" xfId="0" applyFont="1" applyBorder="1" applyAlignment="1">
      <alignment horizontal="center" vertical="center"/>
    </xf>
    <xf numFmtId="0" fontId="21" fillId="0" borderId="0" xfId="0" applyFont="1" applyProtection="1">
      <protection locked="0"/>
    </xf>
    <xf numFmtId="0" fontId="21" fillId="0" borderId="0" xfId="2" applyNumberFormat="1" applyFont="1" applyBorder="1" applyAlignment="1" applyProtection="1">
      <protection locked="0"/>
    </xf>
    <xf numFmtId="0" fontId="21" fillId="0" borderId="0" xfId="0" applyFont="1" applyAlignment="1" applyProtection="1">
      <alignment vertical="center"/>
      <protection locked="0"/>
    </xf>
    <xf numFmtId="0" fontId="38" fillId="0" borderId="0" xfId="0" applyFont="1" applyProtection="1">
      <protection locked="0"/>
    </xf>
    <xf numFmtId="9" fontId="41" fillId="5" borderId="0" xfId="1" applyFont="1" applyFill="1" applyBorder="1" applyAlignment="1" applyProtection="1">
      <alignment horizontal="center" vertical="center" wrapText="1"/>
      <protection locked="0"/>
    </xf>
    <xf numFmtId="14" fontId="41" fillId="5" borderId="0" xfId="0" applyNumberFormat="1" applyFont="1" applyFill="1" applyAlignment="1" applyProtection="1">
      <alignment horizontal="center" vertical="center" wrapText="1"/>
      <protection locked="0"/>
    </xf>
    <xf numFmtId="0" fontId="41" fillId="5" borderId="0" xfId="0" applyFont="1" applyFill="1" applyAlignment="1" applyProtection="1">
      <alignment horizontal="center" vertical="center" wrapText="1"/>
      <protection locked="0"/>
    </xf>
    <xf numFmtId="0" fontId="21" fillId="0" borderId="0" xfId="0" applyFont="1" applyAlignment="1" applyProtection="1">
      <alignment vertical="top" wrapText="1"/>
      <protection locked="0"/>
    </xf>
    <xf numFmtId="0" fontId="0" fillId="0" borderId="0" xfId="0" applyAlignment="1">
      <alignment horizontal="center"/>
    </xf>
    <xf numFmtId="0" fontId="0" fillId="0" borderId="24" xfId="0" pivotButton="1" applyBorder="1"/>
    <xf numFmtId="0" fontId="36" fillId="0" borderId="0" xfId="0" applyFont="1"/>
    <xf numFmtId="0" fontId="0" fillId="0" borderId="44" xfId="0" applyBorder="1" applyAlignment="1">
      <alignment horizontal="left" vertical="center" wrapText="1"/>
    </xf>
    <xf numFmtId="0" fontId="0" fillId="0" borderId="38" xfId="0" pivotButton="1" applyBorder="1" applyAlignment="1">
      <alignment vertical="center" wrapText="1"/>
    </xf>
    <xf numFmtId="0" fontId="0" fillId="0" borderId="15" xfId="0" applyBorder="1" applyAlignment="1">
      <alignment vertical="center" wrapText="1"/>
    </xf>
    <xf numFmtId="0" fontId="0" fillId="0" borderId="15" xfId="0" applyBorder="1" applyAlignment="1">
      <alignment horizontal="center" vertical="center" wrapText="1"/>
    </xf>
    <xf numFmtId="0" fontId="0" fillId="0" borderId="24" xfId="0" pivotButton="1" applyBorder="1" applyAlignment="1">
      <alignment horizontal="center" vertical="center" wrapText="1"/>
    </xf>
    <xf numFmtId="4" fontId="0" fillId="0" borderId="24" xfId="0" applyNumberFormat="1" applyBorder="1" applyAlignment="1">
      <alignment horizontal="center" vertical="center" wrapText="1"/>
    </xf>
    <xf numFmtId="3" fontId="0" fillId="0" borderId="24" xfId="0" applyNumberFormat="1" applyBorder="1" applyAlignment="1">
      <alignment horizontal="center" vertical="center" wrapText="1"/>
    </xf>
    <xf numFmtId="0" fontId="0" fillId="0" borderId="24" xfId="0" applyBorder="1"/>
    <xf numFmtId="0" fontId="0" fillId="0" borderId="24" xfId="0" pivotButton="1" applyBorder="1" applyAlignment="1">
      <alignment horizontal="center" wrapText="1"/>
    </xf>
    <xf numFmtId="0" fontId="0" fillId="0" borderId="24" xfId="0" applyBorder="1" applyAlignment="1">
      <alignment horizontal="center"/>
    </xf>
    <xf numFmtId="10" fontId="14" fillId="0" borderId="0" xfId="1" applyNumberFormat="1" applyFont="1"/>
    <xf numFmtId="10" fontId="14" fillId="0" borderId="0" xfId="1" applyNumberFormat="1" applyFont="1" applyBorder="1"/>
    <xf numFmtId="1" fontId="9" fillId="0" borderId="0" xfId="0" applyNumberFormat="1" applyFont="1" applyProtection="1">
      <protection locked="0"/>
    </xf>
    <xf numFmtId="1" fontId="17" fillId="6" borderId="13" xfId="0" applyNumberFormat="1" applyFont="1" applyFill="1" applyBorder="1" applyAlignment="1">
      <alignment horizontal="center" vertical="center" wrapText="1"/>
    </xf>
    <xf numFmtId="1" fontId="9" fillId="2" borderId="2" xfId="0" applyNumberFormat="1" applyFont="1" applyFill="1" applyBorder="1" applyAlignment="1" applyProtection="1">
      <alignment horizontal="center" vertical="center" wrapText="1"/>
      <protection locked="0"/>
    </xf>
    <xf numFmtId="1" fontId="9" fillId="2" borderId="2" xfId="0" applyNumberFormat="1" applyFont="1" applyFill="1" applyBorder="1" applyAlignment="1" applyProtection="1">
      <alignment horizontal="center"/>
      <protection locked="0"/>
    </xf>
    <xf numFmtId="1" fontId="9" fillId="2" borderId="7" xfId="0" applyNumberFormat="1" applyFont="1" applyFill="1" applyBorder="1" applyAlignment="1" applyProtection="1">
      <alignment horizontal="center"/>
      <protection locked="0"/>
    </xf>
    <xf numFmtId="1" fontId="9" fillId="0" borderId="2" xfId="0" applyNumberFormat="1" applyFont="1" applyBorder="1" applyAlignment="1" applyProtection="1">
      <alignment horizontal="center"/>
      <protection locked="0"/>
    </xf>
    <xf numFmtId="1" fontId="9" fillId="0" borderId="7" xfId="0" applyNumberFormat="1" applyFont="1" applyBorder="1" applyAlignment="1" applyProtection="1">
      <alignment horizontal="center"/>
      <protection locked="0"/>
    </xf>
    <xf numFmtId="10" fontId="0" fillId="0" borderId="24" xfId="0" applyNumberFormat="1" applyBorder="1" applyAlignment="1">
      <alignment horizontal="center"/>
    </xf>
    <xf numFmtId="10" fontId="0" fillId="0" borderId="11" xfId="1" applyNumberFormat="1" applyFont="1" applyBorder="1" applyAlignment="1">
      <alignment horizontal="center" vertical="center"/>
    </xf>
    <xf numFmtId="10" fontId="0" fillId="0" borderId="11" xfId="0" applyNumberFormat="1" applyBorder="1" applyAlignment="1">
      <alignment horizontal="center" vertical="center"/>
    </xf>
    <xf numFmtId="14" fontId="18" fillId="0" borderId="6" xfId="0" applyNumberFormat="1" applyFont="1" applyBorder="1" applyAlignment="1" applyProtection="1">
      <alignment horizontal="center"/>
      <protection locked="0" hidden="1"/>
    </xf>
    <xf numFmtId="0" fontId="44" fillId="0" borderId="0" xfId="0" applyFont="1" applyProtection="1">
      <protection locked="0"/>
    </xf>
    <xf numFmtId="0" fontId="44" fillId="0" borderId="0" xfId="2" applyNumberFormat="1" applyFont="1" applyBorder="1" applyAlignment="1" applyProtection="1">
      <protection locked="0"/>
    </xf>
    <xf numFmtId="0" fontId="44" fillId="0" borderId="0" xfId="0" applyFont="1" applyAlignment="1" applyProtection="1">
      <alignment vertical="center"/>
      <protection locked="0"/>
    </xf>
    <xf numFmtId="1" fontId="0" fillId="0" borderId="49" xfId="0" applyNumberFormat="1" applyBorder="1" applyAlignment="1">
      <alignment horizontal="center" vertical="center" wrapText="1"/>
    </xf>
    <xf numFmtId="0" fontId="0" fillId="0" borderId="42" xfId="0" applyBorder="1" applyAlignment="1">
      <alignment horizontal="left" vertical="center" wrapText="1"/>
    </xf>
    <xf numFmtId="10" fontId="14" fillId="0" borderId="43" xfId="0" applyNumberFormat="1" applyFont="1" applyBorder="1" applyAlignment="1">
      <alignment horizontal="center" vertical="center" wrapText="1"/>
    </xf>
    <xf numFmtId="1" fontId="0" fillId="0" borderId="48" xfId="0" applyNumberFormat="1" applyBorder="1" applyAlignment="1">
      <alignment horizontal="center" vertical="center" wrapText="1"/>
    </xf>
    <xf numFmtId="9" fontId="15" fillId="2" borderId="11" xfId="1" applyFont="1" applyFill="1" applyBorder="1" applyAlignment="1">
      <alignment horizontal="center" vertical="center" wrapText="1"/>
    </xf>
    <xf numFmtId="9" fontId="0" fillId="2" borderId="16" xfId="1" applyFont="1" applyFill="1" applyBorder="1" applyAlignment="1">
      <alignment horizontal="center" vertical="center" wrapText="1"/>
    </xf>
    <xf numFmtId="9" fontId="0" fillId="2" borderId="17" xfId="1" applyFont="1" applyFill="1" applyBorder="1" applyAlignment="1">
      <alignment horizontal="center" vertical="center" wrapText="1"/>
    </xf>
    <xf numFmtId="9" fontId="0" fillId="2" borderId="36" xfId="1" applyFont="1" applyFill="1" applyBorder="1" applyAlignment="1">
      <alignment horizontal="center" vertical="center" wrapText="1"/>
    </xf>
    <xf numFmtId="9" fontId="0" fillId="2" borderId="11" xfId="1" applyFont="1" applyFill="1" applyBorder="1" applyAlignment="1">
      <alignment horizontal="center" vertical="center" wrapText="1"/>
    </xf>
    <xf numFmtId="9" fontId="0" fillId="2" borderId="0" xfId="1" applyFont="1" applyFill="1"/>
    <xf numFmtId="10" fontId="0" fillId="0" borderId="0" xfId="0" applyNumberFormat="1"/>
    <xf numFmtId="3" fontId="0" fillId="0" borderId="24" xfId="0" applyNumberFormat="1" applyBorder="1" applyAlignment="1">
      <alignment horizontal="center"/>
    </xf>
    <xf numFmtId="10" fontId="7" fillId="4" borderId="6" xfId="1" applyNumberFormat="1" applyFont="1" applyFill="1" applyBorder="1" applyAlignment="1">
      <alignment horizontal="center" vertical="center"/>
    </xf>
    <xf numFmtId="10" fontId="8" fillId="3" borderId="6" xfId="1" applyNumberFormat="1" applyFont="1" applyFill="1" applyBorder="1" applyAlignment="1">
      <alignment horizontal="center" vertical="center"/>
    </xf>
    <xf numFmtId="10" fontId="8" fillId="0" borderId="6" xfId="1" applyNumberFormat="1" applyFont="1" applyBorder="1" applyAlignment="1">
      <alignment horizontal="center" vertical="center"/>
    </xf>
    <xf numFmtId="10" fontId="46" fillId="3" borderId="6" xfId="1" applyNumberFormat="1" applyFont="1" applyFill="1" applyBorder="1" applyAlignment="1">
      <alignment horizontal="center" vertical="center"/>
    </xf>
    <xf numFmtId="0" fontId="6" fillId="0" borderId="11" xfId="0" applyFont="1" applyBorder="1" applyAlignment="1">
      <alignment horizontal="left" vertical="center"/>
    </xf>
    <xf numFmtId="0" fontId="9" fillId="0" borderId="6" xfId="0" applyFont="1" applyBorder="1" applyAlignment="1" applyProtection="1">
      <alignment horizontal="center" vertical="center" wrapText="1"/>
      <protection hidden="1"/>
    </xf>
    <xf numFmtId="1" fontId="9" fillId="0" borderId="6" xfId="0" applyNumberFormat="1" applyFont="1" applyBorder="1" applyAlignment="1" applyProtection="1">
      <alignment horizontal="center" vertical="center" wrapText="1"/>
      <protection locked="0"/>
    </xf>
    <xf numFmtId="0" fontId="33" fillId="24" borderId="11" xfId="0" applyFont="1" applyFill="1" applyBorder="1" applyAlignment="1">
      <alignment horizontal="left" vertical="center"/>
    </xf>
    <xf numFmtId="0" fontId="39" fillId="0" borderId="0" xfId="0" applyFont="1" applyAlignment="1" applyProtection="1">
      <alignment horizontal="center"/>
      <protection locked="0"/>
    </xf>
    <xf numFmtId="0" fontId="39" fillId="0" borderId="0" xfId="0" applyFont="1" applyAlignment="1" applyProtection="1">
      <alignment horizontal="center" vertical="center"/>
      <protection locked="0"/>
    </xf>
    <xf numFmtId="0" fontId="39" fillId="0" borderId="0" xfId="0" applyFont="1" applyAlignment="1" applyProtection="1">
      <alignment horizontal="center" vertical="top" wrapText="1"/>
      <protection locked="0"/>
    </xf>
    <xf numFmtId="0" fontId="0" fillId="0" borderId="40" xfId="0"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1" fontId="0" fillId="0" borderId="15" xfId="0" applyNumberFormat="1" applyBorder="1" applyAlignment="1">
      <alignment horizontal="center" vertical="center" wrapText="1"/>
    </xf>
    <xf numFmtId="1" fontId="0" fillId="0" borderId="38" xfId="0" applyNumberFormat="1" applyBorder="1" applyAlignment="1">
      <alignment horizontal="center" vertical="center" wrapText="1"/>
    </xf>
    <xf numFmtId="0" fontId="0" fillId="0" borderId="39" xfId="0" applyBorder="1"/>
    <xf numFmtId="10" fontId="14" fillId="0" borderId="40" xfId="1" applyNumberFormat="1" applyFont="1" applyBorder="1"/>
    <xf numFmtId="0" fontId="0" fillId="0" borderId="41" xfId="0" applyBorder="1"/>
    <xf numFmtId="0" fontId="14" fillId="0" borderId="38" xfId="0" pivotButton="1" applyFont="1" applyBorder="1" applyAlignment="1">
      <alignment vertical="center" wrapText="1"/>
    </xf>
    <xf numFmtId="1" fontId="0" fillId="0" borderId="50" xfId="0" applyNumberFormat="1" applyBorder="1" applyAlignment="1">
      <alignment horizontal="center" vertical="center" wrapText="1"/>
    </xf>
    <xf numFmtId="14" fontId="50" fillId="0" borderId="6" xfId="0" applyNumberFormat="1" applyFont="1" applyBorder="1" applyAlignment="1" applyProtection="1">
      <alignment horizontal="center"/>
      <protection locked="0" hidden="1"/>
    </xf>
    <xf numFmtId="14" fontId="51" fillId="0" borderId="6" xfId="0" applyNumberFormat="1" applyFont="1" applyBorder="1" applyAlignment="1" applyProtection="1">
      <alignment horizontal="center"/>
      <protection locked="0" hidden="1"/>
    </xf>
    <xf numFmtId="10" fontId="0" fillId="0" borderId="24" xfId="0" applyNumberFormat="1" applyBorder="1" applyAlignment="1">
      <alignment horizontal="center" vertical="center" wrapText="1"/>
    </xf>
    <xf numFmtId="10" fontId="14" fillId="0" borderId="24" xfId="0" applyNumberFormat="1" applyFont="1" applyBorder="1" applyAlignment="1">
      <alignment horizontal="center"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14" fillId="0" borderId="48" xfId="0" applyFont="1" applyBorder="1" applyAlignment="1">
      <alignment horizontal="left" vertical="center" wrapText="1"/>
    </xf>
    <xf numFmtId="0" fontId="14" fillId="0" borderId="49" xfId="0" applyFont="1" applyBorder="1" applyAlignment="1">
      <alignment horizontal="left" vertical="center" wrapText="1"/>
    </xf>
    <xf numFmtId="0" fontId="14" fillId="0" borderId="51" xfId="0" applyFont="1" applyBorder="1" applyAlignment="1">
      <alignment horizontal="left" vertical="center" wrapText="1"/>
    </xf>
    <xf numFmtId="9" fontId="0" fillId="0" borderId="47" xfId="0" applyNumberFormat="1" applyBorder="1" applyAlignment="1">
      <alignment horizontal="center" vertical="center" wrapText="1"/>
    </xf>
    <xf numFmtId="10" fontId="14" fillId="0" borderId="47" xfId="0" applyNumberFormat="1" applyFont="1" applyBorder="1" applyAlignment="1">
      <alignment horizontal="center" vertical="center" wrapText="1"/>
    </xf>
    <xf numFmtId="9" fontId="0" fillId="0" borderId="35" xfId="0" applyNumberFormat="1" applyBorder="1" applyAlignment="1">
      <alignment horizontal="center" vertical="center" wrapText="1"/>
    </xf>
    <xf numFmtId="10" fontId="14" fillId="0" borderId="35" xfId="0" applyNumberFormat="1" applyFont="1" applyBorder="1" applyAlignment="1">
      <alignment horizontal="center" vertical="center" wrapText="1"/>
    </xf>
    <xf numFmtId="0" fontId="9" fillId="0" borderId="6" xfId="0" applyFont="1" applyBorder="1" applyAlignment="1" applyProtection="1">
      <alignment horizontal="center" wrapText="1"/>
      <protection locked="0"/>
    </xf>
    <xf numFmtId="0" fontId="0" fillId="0" borderId="38" xfId="0" applyBorder="1" applyAlignment="1">
      <alignment horizontal="center" vertical="center" wrapText="1"/>
    </xf>
    <xf numFmtId="1" fontId="0" fillId="0" borderId="23" xfId="0" applyNumberFormat="1" applyBorder="1" applyAlignment="1">
      <alignment horizontal="center" vertical="center" wrapText="1"/>
    </xf>
    <xf numFmtId="0" fontId="0" fillId="0" borderId="23" xfId="0" applyBorder="1" applyAlignment="1">
      <alignment horizontal="center" vertical="center" wrapText="1"/>
    </xf>
    <xf numFmtId="3" fontId="0" fillId="0" borderId="23" xfId="0" applyNumberFormat="1" applyBorder="1" applyAlignment="1">
      <alignment horizontal="center" vertical="center" wrapText="1"/>
    </xf>
    <xf numFmtId="0" fontId="9" fillId="5" borderId="6" xfId="0" applyFont="1" applyFill="1" applyBorder="1" applyAlignment="1" applyProtection="1">
      <alignment horizontal="center"/>
      <protection locked="0"/>
    </xf>
    <xf numFmtId="0" fontId="9" fillId="5" borderId="6" xfId="0" applyFont="1" applyFill="1" applyBorder="1" applyAlignment="1" applyProtection="1">
      <alignment horizontal="center" wrapText="1"/>
      <protection locked="0"/>
    </xf>
    <xf numFmtId="3" fontId="0" fillId="0" borderId="38" xfId="0" applyNumberFormat="1" applyBorder="1" applyAlignment="1">
      <alignment horizontal="center" vertical="center" wrapText="1"/>
    </xf>
    <xf numFmtId="0" fontId="24" fillId="10" borderId="0" xfId="0" applyFont="1" applyFill="1" applyAlignment="1">
      <alignment horizontal="center" vertical="center" wrapText="1"/>
    </xf>
    <xf numFmtId="0" fontId="24" fillId="10" borderId="5"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5" xfId="0" applyFont="1" applyFill="1" applyBorder="1" applyAlignment="1">
      <alignment horizontal="center" vertical="center" wrapText="1"/>
    </xf>
    <xf numFmtId="0" fontId="24" fillId="23" borderId="0" xfId="0" applyFont="1" applyFill="1" applyAlignment="1" applyProtection="1">
      <alignment horizontal="center" vertical="center" wrapText="1"/>
      <protection locked="0"/>
    </xf>
    <xf numFmtId="0" fontId="30" fillId="4" borderId="38" xfId="0" applyFont="1" applyFill="1" applyBorder="1" applyAlignment="1">
      <alignment horizontal="center" vertical="center"/>
    </xf>
    <xf numFmtId="0" fontId="30" fillId="4" borderId="23" xfId="0" applyFont="1" applyFill="1" applyBorder="1" applyAlignment="1">
      <alignment horizontal="center" vertical="center"/>
    </xf>
    <xf numFmtId="0" fontId="30" fillId="4" borderId="15" xfId="0" applyFont="1" applyFill="1" applyBorder="1" applyAlignment="1">
      <alignment horizontal="center" vertical="center"/>
    </xf>
    <xf numFmtId="0" fontId="22" fillId="2" borderId="34" xfId="77" applyFont="1" applyFill="1" applyBorder="1" applyAlignment="1">
      <alignment horizontal="justify" vertical="justify" wrapText="1"/>
    </xf>
    <xf numFmtId="0" fontId="22" fillId="2" borderId="27" xfId="77" applyFont="1" applyFill="1" applyBorder="1" applyAlignment="1">
      <alignment horizontal="justify" vertical="justify" wrapText="1"/>
    </xf>
    <xf numFmtId="0" fontId="14" fillId="2" borderId="35" xfId="75" applyFont="1" applyFill="1" applyBorder="1" applyAlignment="1">
      <alignment horizontal="center" vertical="center" wrapText="1"/>
    </xf>
    <xf numFmtId="0" fontId="14" fillId="2" borderId="25" xfId="75" applyFont="1" applyFill="1" applyBorder="1" applyAlignment="1">
      <alignment horizontal="center" vertical="center" wrapText="1"/>
    </xf>
    <xf numFmtId="0" fontId="14" fillId="2" borderId="26" xfId="75" applyFont="1" applyFill="1" applyBorder="1" applyAlignment="1">
      <alignment horizontal="center" vertical="center" wrapText="1"/>
    </xf>
    <xf numFmtId="0" fontId="14" fillId="2" borderId="31" xfId="75" applyFont="1" applyFill="1" applyBorder="1" applyAlignment="1">
      <alignment horizontal="center" vertical="center" wrapText="1"/>
    </xf>
    <xf numFmtId="0" fontId="14" fillId="2" borderId="32" xfId="75" applyFont="1" applyFill="1" applyBorder="1" applyAlignment="1">
      <alignment horizontal="center" vertical="center" wrapText="1"/>
    </xf>
    <xf numFmtId="0" fontId="14" fillId="2" borderId="33" xfId="75" applyFont="1" applyFill="1" applyBorder="1" applyAlignment="1">
      <alignment horizontal="center" vertical="center" wrapText="1"/>
    </xf>
    <xf numFmtId="0" fontId="3" fillId="18" borderId="4"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3" fillId="18" borderId="7" xfId="0" applyFont="1" applyFill="1" applyBorder="1" applyAlignment="1" applyProtection="1">
      <alignment horizontal="center" vertical="center" wrapText="1"/>
      <protection locked="0"/>
    </xf>
    <xf numFmtId="0" fontId="3" fillId="18" borderId="2"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2" fillId="0" borderId="6"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49"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14" fontId="11" fillId="0" borderId="7" xfId="0" applyNumberFormat="1" applyFont="1" applyBorder="1" applyAlignment="1">
      <alignment horizontal="center" vertical="center"/>
    </xf>
    <xf numFmtId="0" fontId="2" fillId="0" borderId="6" xfId="0" applyFont="1" applyBorder="1" applyAlignment="1" applyProtection="1">
      <alignment horizontal="left" vertical="center"/>
      <protection locked="0"/>
    </xf>
    <xf numFmtId="0" fontId="2" fillId="0" borderId="6" xfId="0" applyFont="1" applyBorder="1" applyAlignment="1" applyProtection="1">
      <alignment horizontal="center" vertical="center" wrapText="1"/>
      <protection locked="0"/>
    </xf>
    <xf numFmtId="0" fontId="1" fillId="0" borderId="3" xfId="0" applyFont="1" applyBorder="1" applyAlignment="1" applyProtection="1">
      <alignment horizontal="center"/>
      <protection locked="0"/>
    </xf>
    <xf numFmtId="0" fontId="2" fillId="0" borderId="2"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0" borderId="10" xfId="0" applyFont="1" applyBorder="1" applyAlignment="1" applyProtection="1">
      <alignment horizontal="center"/>
      <protection locked="0"/>
    </xf>
    <xf numFmtId="0" fontId="3" fillId="18" borderId="30" xfId="0" applyFont="1" applyFill="1" applyBorder="1" applyAlignment="1" applyProtection="1">
      <alignment horizontal="center" vertical="center" wrapText="1"/>
      <protection locked="0"/>
    </xf>
    <xf numFmtId="10" fontId="1" fillId="0" borderId="6" xfId="1" applyNumberFormat="1" applyFont="1" applyBorder="1" applyAlignment="1" applyProtection="1">
      <alignment horizontal="center" vertical="center"/>
    </xf>
    <xf numFmtId="0" fontId="3" fillId="18" borderId="1" xfId="0" applyFont="1" applyFill="1" applyBorder="1" applyAlignment="1" applyProtection="1">
      <alignment horizontal="center" vertical="center" wrapText="1"/>
      <protection locked="0"/>
    </xf>
    <xf numFmtId="0" fontId="3" fillId="18" borderId="3"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3" fillId="18" borderId="6" xfId="0" applyFont="1" applyFill="1" applyBorder="1" applyAlignment="1" applyProtection="1">
      <alignment horizontal="center" vertical="center" wrapText="1"/>
      <protection locked="0"/>
    </xf>
    <xf numFmtId="0" fontId="1" fillId="0" borderId="2" xfId="0" applyFont="1" applyBorder="1" applyAlignment="1" applyProtection="1">
      <alignment horizontal="center"/>
      <protection hidden="1"/>
    </xf>
    <xf numFmtId="0" fontId="1" fillId="0" borderId="30" xfId="0" applyFont="1" applyBorder="1" applyAlignment="1" applyProtection="1">
      <alignment horizontal="center"/>
      <protection hidden="1"/>
    </xf>
    <xf numFmtId="0" fontId="1" fillId="0" borderId="12" xfId="0" applyFont="1" applyBorder="1" applyAlignment="1" applyProtection="1">
      <alignment horizontal="center"/>
      <protection hidden="1"/>
    </xf>
    <xf numFmtId="166" fontId="1" fillId="0" borderId="7" xfId="1" applyNumberFormat="1" applyFont="1" applyBorder="1" applyAlignment="1" applyProtection="1">
      <alignment horizontal="center" vertical="center"/>
      <protection hidden="1"/>
    </xf>
    <xf numFmtId="166" fontId="1" fillId="0" borderId="8" xfId="1" applyNumberFormat="1" applyFont="1" applyBorder="1" applyAlignment="1" applyProtection="1">
      <alignment horizontal="center" vertical="center"/>
      <protection hidden="1"/>
    </xf>
    <xf numFmtId="166" fontId="1" fillId="0" borderId="9" xfId="1" applyNumberFormat="1" applyFont="1" applyBorder="1" applyAlignment="1" applyProtection="1">
      <alignment horizontal="center" vertical="center"/>
      <protection hidden="1"/>
    </xf>
    <xf numFmtId="166" fontId="1" fillId="0" borderId="4" xfId="1" applyNumberFormat="1" applyFont="1" applyBorder="1" applyAlignment="1" applyProtection="1">
      <alignment horizontal="center" vertical="center"/>
      <protection hidden="1"/>
    </xf>
    <xf numFmtId="166" fontId="1" fillId="0" borderId="5" xfId="1" applyNumberFormat="1" applyFont="1" applyBorder="1" applyAlignment="1" applyProtection="1">
      <alignment horizontal="center" vertical="center"/>
      <protection hidden="1"/>
    </xf>
    <xf numFmtId="166" fontId="1" fillId="0" borderId="10" xfId="1" applyNumberFormat="1" applyFont="1" applyBorder="1" applyAlignment="1" applyProtection="1">
      <alignment horizontal="center" vertical="center"/>
      <protection hidden="1"/>
    </xf>
    <xf numFmtId="164" fontId="1" fillId="0" borderId="6" xfId="0" applyNumberFormat="1" applyFont="1" applyBorder="1" applyAlignment="1" applyProtection="1">
      <alignment horizontal="center"/>
      <protection hidden="1"/>
    </xf>
    <xf numFmtId="0" fontId="1" fillId="0" borderId="6" xfId="0" applyFont="1" applyBorder="1" applyAlignment="1" applyProtection="1">
      <alignment horizontal="center"/>
      <protection locked="0"/>
    </xf>
    <xf numFmtId="0" fontId="1" fillId="0" borderId="6" xfId="0" applyFont="1" applyBorder="1" applyAlignment="1" applyProtection="1">
      <alignment horizontal="left" vertical="center"/>
      <protection hidden="1"/>
    </xf>
    <xf numFmtId="9" fontId="1" fillId="0" borderId="2" xfId="1" applyFont="1" applyBorder="1" applyAlignment="1" applyProtection="1">
      <alignment horizontal="center"/>
      <protection hidden="1"/>
    </xf>
    <xf numFmtId="9" fontId="1" fillId="0" borderId="30"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3" fillId="18" borderId="8" xfId="0" applyFont="1" applyFill="1" applyBorder="1" applyAlignment="1" applyProtection="1">
      <alignment horizontal="center" vertical="center" wrapText="1"/>
      <protection locked="0"/>
    </xf>
    <xf numFmtId="0" fontId="1" fillId="0" borderId="6" xfId="0" applyFont="1" applyBorder="1" applyAlignment="1" applyProtection="1">
      <alignment horizontal="center"/>
      <protection hidden="1"/>
    </xf>
    <xf numFmtId="0" fontId="1" fillId="0" borderId="1" xfId="0" applyFont="1" applyBorder="1" applyAlignment="1" applyProtection="1">
      <alignment horizontal="center"/>
      <protection locked="0"/>
    </xf>
    <xf numFmtId="0" fontId="3" fillId="18" borderId="12" xfId="0" applyFont="1" applyFill="1" applyBorder="1" applyAlignment="1" applyProtection="1">
      <alignment horizontal="center" vertical="center" wrapText="1"/>
      <protection locked="0"/>
    </xf>
    <xf numFmtId="0" fontId="3" fillId="18" borderId="6" xfId="0" applyFont="1" applyFill="1" applyBorder="1" applyAlignment="1" applyProtection="1">
      <alignment horizontal="center" vertical="center"/>
      <protection locked="0"/>
    </xf>
    <xf numFmtId="0" fontId="3" fillId="18" borderId="29" xfId="0" applyFont="1" applyFill="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6" xfId="0" applyFont="1" applyBorder="1" applyAlignment="1" applyProtection="1">
      <alignment horizontal="left" vertical="center" wrapText="1"/>
      <protection locked="0"/>
    </xf>
    <xf numFmtId="165" fontId="1" fillId="0" borderId="6" xfId="0" applyNumberFormat="1" applyFont="1" applyBorder="1" applyAlignment="1" applyProtection="1">
      <alignment horizontal="center" vertical="center" wrapText="1"/>
      <protection locked="0"/>
    </xf>
    <xf numFmtId="0" fontId="1" fillId="0" borderId="6" xfId="0" applyFont="1" applyBorder="1" applyAlignment="1" applyProtection="1">
      <alignment horizontal="center" vertical="top"/>
      <protection locked="0"/>
    </xf>
    <xf numFmtId="0" fontId="1" fillId="17" borderId="6" xfId="0"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protection locked="0"/>
    </xf>
    <xf numFmtId="14" fontId="10" fillId="0" borderId="6" xfId="0" applyNumberFormat="1" applyFont="1" applyBorder="1" applyAlignment="1" applyProtection="1">
      <alignment horizontal="center" vertical="top"/>
      <protection locked="0"/>
    </xf>
    <xf numFmtId="0" fontId="10" fillId="0" borderId="6" xfId="0" applyFont="1" applyBorder="1" applyAlignment="1" applyProtection="1">
      <alignment horizontal="center" vertical="top"/>
      <protection locked="0"/>
    </xf>
    <xf numFmtId="0" fontId="1" fillId="0" borderId="0" xfId="0" applyFont="1" applyAlignment="1" applyProtection="1">
      <alignment horizontal="center" vertical="center"/>
      <protection locked="0"/>
    </xf>
    <xf numFmtId="0" fontId="1" fillId="0" borderId="6" xfId="0" applyFont="1" applyBorder="1" applyAlignment="1" applyProtection="1">
      <alignment horizontal="left" vertical="top"/>
      <protection locked="0"/>
    </xf>
    <xf numFmtId="0" fontId="1" fillId="5" borderId="6"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protection locked="0"/>
    </xf>
    <xf numFmtId="0" fontId="1" fillId="0" borderId="6" xfId="0" applyFont="1" applyBorder="1" applyAlignment="1" applyProtection="1">
      <alignment horizontal="center" vertical="top" wrapText="1"/>
      <protection locked="0"/>
    </xf>
    <xf numFmtId="0" fontId="38" fillId="0" borderId="14" xfId="0" applyFont="1" applyBorder="1" applyAlignment="1" applyProtection="1">
      <alignment horizontal="center" vertical="center"/>
      <protection locked="0"/>
    </xf>
    <xf numFmtId="0" fontId="44" fillId="0" borderId="29" xfId="0" applyFont="1" applyBorder="1" applyAlignment="1" applyProtection="1">
      <alignment horizontal="center" vertical="center"/>
      <protection locked="0"/>
    </xf>
    <xf numFmtId="0" fontId="44" fillId="0" borderId="13" xfId="0" applyFont="1" applyBorder="1" applyAlignment="1" applyProtection="1">
      <alignment horizontal="center" vertical="center"/>
      <protection locked="0"/>
    </xf>
    <xf numFmtId="0" fontId="45" fillId="19" borderId="14" xfId="0" applyFont="1" applyFill="1" applyBorder="1" applyAlignment="1" applyProtection="1">
      <alignment horizontal="center" vertical="center"/>
      <protection locked="0"/>
    </xf>
    <xf numFmtId="0" fontId="45" fillId="19" borderId="13" xfId="0" applyFont="1" applyFill="1" applyBorder="1" applyAlignment="1" applyProtection="1">
      <alignment horizontal="center" vertical="center"/>
      <protection locked="0"/>
    </xf>
    <xf numFmtId="0" fontId="39" fillId="19" borderId="6" xfId="0" applyFont="1" applyFill="1" applyBorder="1" applyAlignment="1" applyProtection="1">
      <alignment horizontal="left" vertical="center"/>
      <protection locked="0"/>
    </xf>
    <xf numFmtId="0" fontId="38" fillId="0" borderId="2" xfId="0" applyFont="1" applyBorder="1" applyAlignment="1" applyProtection="1">
      <alignment horizontal="left" vertical="center"/>
      <protection locked="0"/>
    </xf>
    <xf numFmtId="0" fontId="38" fillId="0" borderId="30" xfId="0" applyFont="1" applyBorder="1" applyAlignment="1" applyProtection="1">
      <alignment horizontal="left" vertical="center"/>
      <protection locked="0"/>
    </xf>
    <xf numFmtId="0" fontId="39" fillId="19" borderId="6" xfId="0" applyFont="1" applyFill="1" applyBorder="1" applyAlignment="1" applyProtection="1">
      <alignment horizontal="center" vertical="center"/>
      <protection locked="0"/>
    </xf>
    <xf numFmtId="0" fontId="40" fillId="5" borderId="6" xfId="0" applyFont="1" applyFill="1" applyBorder="1" applyAlignment="1" applyProtection="1">
      <alignment horizontal="left" vertical="center"/>
      <protection locked="0"/>
    </xf>
    <xf numFmtId="0" fontId="48" fillId="0" borderId="2" xfId="0" applyFont="1" applyBorder="1" applyAlignment="1" applyProtection="1">
      <alignment horizontal="center" vertical="center"/>
      <protection locked="0"/>
    </xf>
    <xf numFmtId="0" fontId="48" fillId="0" borderId="30" xfId="0" applyFont="1" applyBorder="1" applyAlignment="1" applyProtection="1">
      <alignment horizontal="center" vertical="center"/>
      <protection locked="0"/>
    </xf>
    <xf numFmtId="0" fontId="48" fillId="0" borderId="12"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hidden="1"/>
    </xf>
    <xf numFmtId="0" fontId="21" fillId="0" borderId="8" xfId="0" applyFont="1" applyBorder="1" applyAlignment="1" applyProtection="1">
      <alignment horizontal="center" vertical="center"/>
      <protection hidden="1"/>
    </xf>
    <xf numFmtId="0" fontId="21" fillId="0" borderId="9"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21" fillId="0" borderId="5"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9" fontId="41" fillId="5" borderId="7" xfId="1" applyFont="1" applyFill="1" applyBorder="1" applyAlignment="1" applyProtection="1">
      <alignment horizontal="center" vertical="center" wrapText="1"/>
      <protection hidden="1"/>
    </xf>
    <xf numFmtId="9" fontId="41" fillId="5" borderId="8" xfId="1" applyFont="1" applyFill="1" applyBorder="1" applyAlignment="1" applyProtection="1">
      <alignment horizontal="center" vertical="center" wrapText="1"/>
      <protection hidden="1"/>
    </xf>
    <xf numFmtId="9" fontId="41" fillId="5" borderId="9" xfId="1" applyFont="1" applyFill="1" applyBorder="1" applyAlignment="1" applyProtection="1">
      <alignment horizontal="center" vertical="center" wrapText="1"/>
      <protection hidden="1"/>
    </xf>
    <xf numFmtId="9" fontId="41" fillId="5" borderId="1" xfId="1" applyFont="1" applyFill="1" applyBorder="1" applyAlignment="1" applyProtection="1">
      <alignment horizontal="center" vertical="center" wrapText="1"/>
      <protection hidden="1"/>
    </xf>
    <xf numFmtId="9" fontId="41" fillId="5" borderId="0" xfId="1" applyFont="1" applyFill="1" applyBorder="1" applyAlignment="1" applyProtection="1">
      <alignment horizontal="center" vertical="center" wrapText="1"/>
      <protection hidden="1"/>
    </xf>
    <xf numFmtId="9" fontId="41" fillId="5" borderId="3" xfId="1" applyFont="1" applyFill="1" applyBorder="1" applyAlignment="1" applyProtection="1">
      <alignment horizontal="center" vertical="center" wrapText="1"/>
      <protection hidden="1"/>
    </xf>
    <xf numFmtId="9" fontId="41" fillId="5" borderId="4" xfId="1" applyFont="1" applyFill="1" applyBorder="1" applyAlignment="1" applyProtection="1">
      <alignment horizontal="center" vertical="center" wrapText="1"/>
      <protection hidden="1"/>
    </xf>
    <xf numFmtId="9" fontId="41" fillId="5" borderId="5" xfId="1" applyFont="1" applyFill="1" applyBorder="1" applyAlignment="1" applyProtection="1">
      <alignment horizontal="center" vertical="center" wrapText="1"/>
      <protection hidden="1"/>
    </xf>
    <xf numFmtId="9" fontId="41" fillId="5" borderId="10" xfId="1" applyFont="1" applyFill="1" applyBorder="1" applyAlignment="1" applyProtection="1">
      <alignment horizontal="center" vertical="center" wrapText="1"/>
      <protection hidden="1"/>
    </xf>
    <xf numFmtId="14" fontId="41" fillId="5" borderId="7" xfId="0" applyNumberFormat="1" applyFont="1" applyFill="1" applyBorder="1" applyAlignment="1" applyProtection="1">
      <alignment horizontal="center" vertical="center" wrapText="1"/>
      <protection hidden="1"/>
    </xf>
    <xf numFmtId="14" fontId="41" fillId="5" borderId="8" xfId="0" applyNumberFormat="1" applyFont="1" applyFill="1" applyBorder="1" applyAlignment="1" applyProtection="1">
      <alignment horizontal="center" vertical="center" wrapText="1"/>
      <protection hidden="1"/>
    </xf>
    <xf numFmtId="14" fontId="41" fillId="5" borderId="9" xfId="0" applyNumberFormat="1" applyFont="1" applyFill="1" applyBorder="1" applyAlignment="1" applyProtection="1">
      <alignment horizontal="center" vertical="center" wrapText="1"/>
      <protection hidden="1"/>
    </xf>
    <xf numFmtId="14" fontId="41" fillId="5" borderId="1" xfId="0" applyNumberFormat="1" applyFont="1" applyFill="1" applyBorder="1" applyAlignment="1" applyProtection="1">
      <alignment horizontal="center" vertical="center" wrapText="1"/>
      <protection hidden="1"/>
    </xf>
    <xf numFmtId="14" fontId="41" fillId="5" borderId="0" xfId="0" applyNumberFormat="1" applyFont="1" applyFill="1" applyAlignment="1" applyProtection="1">
      <alignment horizontal="center" vertical="center" wrapText="1"/>
      <protection hidden="1"/>
    </xf>
    <xf numFmtId="14" fontId="41" fillId="5" borderId="3" xfId="0" applyNumberFormat="1" applyFont="1" applyFill="1" applyBorder="1" applyAlignment="1" applyProtection="1">
      <alignment horizontal="center" vertical="center" wrapText="1"/>
      <protection hidden="1"/>
    </xf>
    <xf numFmtId="14" fontId="41" fillId="5" borderId="4" xfId="0" applyNumberFormat="1" applyFont="1" applyFill="1" applyBorder="1" applyAlignment="1" applyProtection="1">
      <alignment horizontal="center" vertical="center" wrapText="1"/>
      <protection hidden="1"/>
    </xf>
    <xf numFmtId="14" fontId="41" fillId="5" borderId="5" xfId="0" applyNumberFormat="1" applyFont="1" applyFill="1" applyBorder="1" applyAlignment="1" applyProtection="1">
      <alignment horizontal="center" vertical="center" wrapText="1"/>
      <protection hidden="1"/>
    </xf>
    <xf numFmtId="14" fontId="41" fillId="5" borderId="10" xfId="0" applyNumberFormat="1" applyFont="1" applyFill="1" applyBorder="1" applyAlignment="1" applyProtection="1">
      <alignment horizontal="center" vertical="center" wrapText="1"/>
      <protection hidden="1"/>
    </xf>
    <xf numFmtId="0" fontId="41" fillId="5" borderId="7" xfId="0" applyFont="1" applyFill="1" applyBorder="1" applyAlignment="1" applyProtection="1">
      <alignment horizontal="center" vertical="center" wrapText="1"/>
      <protection hidden="1"/>
    </xf>
    <xf numFmtId="0" fontId="41" fillId="5" borderId="8" xfId="0" applyFont="1" applyFill="1" applyBorder="1" applyAlignment="1" applyProtection="1">
      <alignment horizontal="center" vertical="center" wrapText="1"/>
      <protection hidden="1"/>
    </xf>
    <xf numFmtId="0" fontId="41" fillId="5" borderId="9" xfId="0" applyFont="1" applyFill="1" applyBorder="1" applyAlignment="1" applyProtection="1">
      <alignment horizontal="center" vertical="center" wrapText="1"/>
      <protection hidden="1"/>
    </xf>
    <xf numFmtId="0" fontId="41" fillId="5" borderId="1" xfId="0" applyFont="1" applyFill="1" applyBorder="1" applyAlignment="1" applyProtection="1">
      <alignment horizontal="center" vertical="center" wrapText="1"/>
      <protection hidden="1"/>
    </xf>
    <xf numFmtId="0" fontId="41" fillId="5" borderId="0" xfId="0" applyFont="1" applyFill="1" applyAlignment="1" applyProtection="1">
      <alignment horizontal="center" vertical="center" wrapText="1"/>
      <protection hidden="1"/>
    </xf>
    <xf numFmtId="0" fontId="41" fillId="5" borderId="3" xfId="0" applyFont="1" applyFill="1" applyBorder="1" applyAlignment="1" applyProtection="1">
      <alignment horizontal="center" vertical="center" wrapText="1"/>
      <protection hidden="1"/>
    </xf>
    <xf numFmtId="0" fontId="41" fillId="5" borderId="4" xfId="0" applyFont="1" applyFill="1" applyBorder="1" applyAlignment="1" applyProtection="1">
      <alignment horizontal="center" vertical="center" wrapText="1"/>
      <protection hidden="1"/>
    </xf>
    <xf numFmtId="0" fontId="41" fillId="5" borderId="5" xfId="0" applyFont="1" applyFill="1" applyBorder="1" applyAlignment="1" applyProtection="1">
      <alignment horizontal="center" vertical="center" wrapText="1"/>
      <protection hidden="1"/>
    </xf>
    <xf numFmtId="0" fontId="41" fillId="5" borderId="10"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5"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49" fillId="19" borderId="6" xfId="0" applyFont="1" applyFill="1" applyBorder="1" applyAlignment="1" applyProtection="1">
      <alignment horizontal="center" vertical="center"/>
      <protection locked="0"/>
    </xf>
    <xf numFmtId="0" fontId="49" fillId="19" borderId="7" xfId="0" applyFont="1" applyFill="1" applyBorder="1" applyAlignment="1" applyProtection="1">
      <alignment horizontal="center" vertical="center"/>
      <protection locked="0"/>
    </xf>
    <xf numFmtId="0" fontId="49" fillId="19" borderId="8" xfId="0" applyFont="1" applyFill="1" applyBorder="1" applyAlignment="1" applyProtection="1">
      <alignment horizontal="center" vertical="center"/>
      <protection locked="0"/>
    </xf>
    <xf numFmtId="0" fontId="49" fillId="19" borderId="9" xfId="0" applyFont="1" applyFill="1" applyBorder="1" applyAlignment="1" applyProtection="1">
      <alignment horizontal="center" vertical="center"/>
      <protection locked="0"/>
    </xf>
    <xf numFmtId="0" fontId="49" fillId="19" borderId="1" xfId="0" applyFont="1" applyFill="1" applyBorder="1" applyAlignment="1" applyProtection="1">
      <alignment horizontal="center" vertical="center"/>
      <protection locked="0"/>
    </xf>
    <xf numFmtId="0" fontId="49" fillId="19" borderId="0" xfId="0" applyFont="1" applyFill="1" applyAlignment="1" applyProtection="1">
      <alignment horizontal="center" vertical="center"/>
      <protection locked="0"/>
    </xf>
    <xf numFmtId="0" fontId="49" fillId="19" borderId="3" xfId="0" applyFont="1" applyFill="1" applyBorder="1" applyAlignment="1" applyProtection="1">
      <alignment horizontal="center" vertical="center"/>
      <protection locked="0"/>
    </xf>
    <xf numFmtId="0" fontId="49" fillId="19" borderId="6" xfId="0" applyFont="1" applyFill="1" applyBorder="1" applyAlignment="1" applyProtection="1">
      <alignment horizontal="center" vertical="center" wrapText="1"/>
      <protection locked="0"/>
    </xf>
    <xf numFmtId="0" fontId="6" fillId="0" borderId="7"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0" xfId="0" applyFont="1" applyAlignment="1" applyProtection="1">
      <alignment horizontal="center"/>
      <protection locked="0"/>
    </xf>
    <xf numFmtId="0" fontId="6" fillId="0" borderId="3"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32" fillId="0" borderId="7"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6" fillId="0" borderId="8"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49" fontId="6" fillId="0" borderId="7" xfId="2" applyNumberFormat="1" applyFont="1" applyBorder="1" applyAlignment="1" applyProtection="1">
      <alignment horizontal="center" vertical="center"/>
      <protection locked="0"/>
    </xf>
    <xf numFmtId="49" fontId="6" fillId="0" borderId="8" xfId="2" applyNumberFormat="1" applyFont="1" applyBorder="1" applyAlignment="1" applyProtection="1">
      <alignment horizontal="center" vertical="center"/>
      <protection locked="0"/>
    </xf>
    <xf numFmtId="49" fontId="6" fillId="0" borderId="9" xfId="2" applyNumberFormat="1" applyFont="1" applyBorder="1" applyAlignment="1" applyProtection="1">
      <alignment horizontal="center" vertical="center"/>
      <protection locked="0"/>
    </xf>
    <xf numFmtId="49" fontId="6" fillId="0" borderId="4" xfId="2" applyNumberFormat="1" applyFont="1" applyBorder="1" applyAlignment="1" applyProtection="1">
      <alignment horizontal="center" vertical="center"/>
      <protection locked="0"/>
    </xf>
    <xf numFmtId="49" fontId="6" fillId="0" borderId="5" xfId="2" applyNumberFormat="1" applyFont="1" applyBorder="1" applyAlignment="1" applyProtection="1">
      <alignment horizontal="center" vertical="center"/>
      <protection locked="0"/>
    </xf>
    <xf numFmtId="49" fontId="6" fillId="0" borderId="10" xfId="2" applyNumberFormat="1" applyFont="1" applyBorder="1" applyAlignment="1" applyProtection="1">
      <alignment horizontal="center" vertical="center"/>
      <protection locked="0"/>
    </xf>
    <xf numFmtId="14" fontId="6" fillId="0" borderId="7" xfId="0" applyNumberFormat="1" applyFont="1" applyBorder="1" applyAlignment="1" applyProtection="1">
      <alignment horizontal="center" vertical="center"/>
      <protection locked="0"/>
    </xf>
    <xf numFmtId="49" fontId="38" fillId="0" borderId="2" xfId="0" applyNumberFormat="1" applyFont="1" applyBorder="1" applyAlignment="1" applyProtection="1">
      <alignment horizontal="left" vertical="center"/>
      <protection hidden="1"/>
    </xf>
    <xf numFmtId="49" fontId="38" fillId="0" borderId="30" xfId="0" applyNumberFormat="1" applyFont="1" applyBorder="1" applyAlignment="1" applyProtection="1">
      <alignment horizontal="left" vertical="center"/>
      <protection hidden="1"/>
    </xf>
    <xf numFmtId="0" fontId="21" fillId="0" borderId="2"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41" fillId="0" borderId="7" xfId="0" applyFont="1" applyBorder="1" applyAlignment="1" applyProtection="1">
      <alignment horizontal="center" vertical="center" wrapText="1"/>
      <protection hidden="1"/>
    </xf>
    <xf numFmtId="0" fontId="41" fillId="0" borderId="8" xfId="0" applyFont="1" applyBorder="1" applyAlignment="1" applyProtection="1">
      <alignment horizontal="center" vertical="center" wrapText="1"/>
      <protection hidden="1"/>
    </xf>
    <xf numFmtId="0" fontId="41" fillId="0" borderId="9" xfId="0" applyFont="1" applyBorder="1" applyAlignment="1" applyProtection="1">
      <alignment horizontal="center" vertical="center" wrapText="1"/>
      <protection hidden="1"/>
    </xf>
    <xf numFmtId="0" fontId="41" fillId="0" borderId="1" xfId="0" applyFont="1" applyBorder="1" applyAlignment="1" applyProtection="1">
      <alignment horizontal="center" vertical="center" wrapText="1"/>
      <protection hidden="1"/>
    </xf>
    <xf numFmtId="0" fontId="41" fillId="0" borderId="0" xfId="0" applyFont="1" applyAlignment="1" applyProtection="1">
      <alignment horizontal="center" vertical="center" wrapText="1"/>
      <protection hidden="1"/>
    </xf>
    <xf numFmtId="0" fontId="41" fillId="0" borderId="3" xfId="0" applyFont="1" applyBorder="1" applyAlignment="1" applyProtection="1">
      <alignment horizontal="center" vertical="center" wrapText="1"/>
      <protection hidden="1"/>
    </xf>
    <xf numFmtId="0" fontId="41" fillId="0" borderId="4" xfId="0" applyFont="1" applyBorder="1" applyAlignment="1" applyProtection="1">
      <alignment horizontal="center" vertical="center" wrapText="1"/>
      <protection hidden="1"/>
    </xf>
    <xf numFmtId="0" fontId="41" fillId="0" borderId="5" xfId="0" applyFont="1" applyBorder="1" applyAlignment="1" applyProtection="1">
      <alignment horizontal="center" vertical="center" wrapText="1"/>
      <protection hidden="1"/>
    </xf>
    <xf numFmtId="0" fontId="41" fillId="0" borderId="10"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protection locked="0"/>
    </xf>
    <xf numFmtId="0" fontId="52" fillId="0" borderId="8" xfId="0" applyFont="1" applyBorder="1" applyAlignment="1" applyProtection="1">
      <alignment horizontal="center" vertical="center"/>
      <protection locked="0"/>
    </xf>
    <xf numFmtId="0" fontId="52" fillId="0" borderId="9" xfId="0" applyFont="1" applyBorder="1" applyAlignment="1" applyProtection="1">
      <alignment horizontal="center" vertical="center"/>
      <protection locked="0"/>
    </xf>
    <xf numFmtId="0" fontId="52" fillId="0" borderId="1" xfId="0" applyFont="1" applyBorder="1" applyAlignment="1" applyProtection="1">
      <alignment horizontal="center" vertical="center"/>
      <protection locked="0"/>
    </xf>
    <xf numFmtId="0" fontId="52" fillId="0" borderId="0" xfId="0" applyFont="1" applyAlignment="1" applyProtection="1">
      <alignment horizontal="center" vertical="center"/>
      <protection locked="0"/>
    </xf>
    <xf numFmtId="0" fontId="52" fillId="0" borderId="3" xfId="0" applyFont="1" applyBorder="1" applyAlignment="1" applyProtection="1">
      <alignment horizontal="center" vertical="center"/>
      <protection locked="0"/>
    </xf>
    <xf numFmtId="0" fontId="52" fillId="0" borderId="4" xfId="0" applyFont="1" applyBorder="1" applyAlignment="1" applyProtection="1">
      <alignment horizontal="center" vertical="center"/>
      <protection locked="0"/>
    </xf>
    <xf numFmtId="0" fontId="52" fillId="0" borderId="5" xfId="0" applyFont="1" applyBorder="1" applyAlignment="1" applyProtection="1">
      <alignment horizontal="center" vertical="center"/>
      <protection locked="0"/>
    </xf>
    <xf numFmtId="0" fontId="52" fillId="0" borderId="10"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8" fillId="0" borderId="8" xfId="0" applyFont="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0" fontId="38" fillId="0" borderId="1"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3"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38" fillId="0" borderId="10" xfId="0" applyFont="1" applyBorder="1" applyAlignment="1" applyProtection="1">
      <alignment horizontal="center" vertical="center"/>
      <protection locked="0"/>
    </xf>
    <xf numFmtId="0" fontId="47" fillId="4" borderId="2" xfId="0" applyFont="1" applyFill="1" applyBorder="1" applyAlignment="1">
      <alignment horizontal="center" vertical="center" wrapText="1"/>
    </xf>
    <xf numFmtId="0" fontId="47" fillId="4" borderId="30" xfId="0" applyFont="1" applyFill="1" applyBorder="1" applyAlignment="1">
      <alignment horizontal="center" vertical="center" wrapText="1"/>
    </xf>
    <xf numFmtId="0" fontId="47" fillId="4" borderId="12" xfId="0" applyFont="1" applyFill="1" applyBorder="1" applyAlignment="1">
      <alignment horizontal="center" vertical="center" wrapText="1"/>
    </xf>
    <xf numFmtId="0" fontId="13" fillId="3" borderId="2" xfId="3" applyFont="1" applyFill="1" applyBorder="1" applyAlignment="1">
      <alignment horizontal="right" vertical="center"/>
    </xf>
    <xf numFmtId="0" fontId="13" fillId="3" borderId="30" xfId="3" applyFont="1" applyFill="1" applyBorder="1" applyAlignment="1">
      <alignment horizontal="right" vertical="center"/>
    </xf>
    <xf numFmtId="0" fontId="13" fillId="3" borderId="12" xfId="3" applyFont="1" applyFill="1" applyBorder="1" applyAlignment="1">
      <alignment horizontal="right" vertical="center"/>
    </xf>
    <xf numFmtId="0" fontId="42" fillId="22" borderId="39" xfId="0" applyFont="1" applyFill="1" applyBorder="1" applyAlignment="1">
      <alignment horizontal="center" vertical="center"/>
    </xf>
    <xf numFmtId="0" fontId="42" fillId="22" borderId="40" xfId="0" applyFont="1" applyFill="1" applyBorder="1" applyAlignment="1">
      <alignment horizontal="center" vertical="center"/>
    </xf>
    <xf numFmtId="0" fontId="42" fillId="22" borderId="41" xfId="0" applyFont="1" applyFill="1" applyBorder="1" applyAlignment="1">
      <alignment horizontal="center" vertical="center"/>
    </xf>
    <xf numFmtId="0" fontId="43" fillId="21" borderId="0" xfId="0" applyFont="1" applyFill="1" applyAlignment="1">
      <alignment horizontal="center" vertical="center" wrapText="1"/>
    </xf>
    <xf numFmtId="0" fontId="42" fillId="22" borderId="39" xfId="0" applyFont="1" applyFill="1" applyBorder="1" applyAlignment="1">
      <alignment horizontal="center" vertical="center" wrapText="1"/>
    </xf>
    <xf numFmtId="0" fontId="42" fillId="22" borderId="40" xfId="0" applyFont="1" applyFill="1" applyBorder="1" applyAlignment="1">
      <alignment horizontal="center" vertical="center" wrapText="1"/>
    </xf>
    <xf numFmtId="0" fontId="42" fillId="22" borderId="41" xfId="0" applyFont="1" applyFill="1" applyBorder="1" applyAlignment="1">
      <alignment horizontal="center" vertical="center" wrapText="1"/>
    </xf>
    <xf numFmtId="0" fontId="31" fillId="22" borderId="39" xfId="0" applyFont="1" applyFill="1" applyBorder="1" applyAlignment="1">
      <alignment horizontal="center" vertical="center" wrapText="1"/>
    </xf>
    <xf numFmtId="0" fontId="31" fillId="22" borderId="40" xfId="0" applyFont="1" applyFill="1" applyBorder="1" applyAlignment="1">
      <alignment horizontal="center" vertical="center" wrapText="1"/>
    </xf>
    <xf numFmtId="0" fontId="31" fillId="22" borderId="41" xfId="0" applyFont="1" applyFill="1" applyBorder="1" applyAlignment="1">
      <alignment horizontal="center" vertical="center" wrapText="1"/>
    </xf>
    <xf numFmtId="14" fontId="25" fillId="0" borderId="6" xfId="0" applyNumberFormat="1" applyFont="1" applyBorder="1" applyAlignment="1" applyProtection="1">
      <alignment horizontal="center"/>
      <protection locked="0" hidden="1"/>
    </xf>
    <xf numFmtId="0" fontId="0" fillId="2" borderId="6" xfId="0" applyFont="1" applyFill="1" applyBorder="1" applyAlignment="1" applyProtection="1">
      <alignment horizontal="center"/>
      <protection hidden="1"/>
    </xf>
    <xf numFmtId="0" fontId="53" fillId="0" borderId="12" xfId="0" applyNumberFormat="1" applyFont="1" applyFill="1" applyBorder="1" applyAlignment="1" applyProtection="1">
      <alignment horizontal="center"/>
      <protection locked="0" hidden="1"/>
    </xf>
    <xf numFmtId="0" fontId="9" fillId="0" borderId="6" xfId="0" applyFont="1" applyFill="1" applyBorder="1" applyAlignment="1" applyProtection="1">
      <alignment horizontal="center"/>
      <protection locked="0" hidden="1"/>
    </xf>
    <xf numFmtId="0" fontId="53" fillId="0" borderId="6" xfId="0" applyFont="1" applyFill="1" applyBorder="1" applyAlignment="1" applyProtection="1">
      <alignment horizontal="center"/>
      <protection locked="0" hidden="1"/>
    </xf>
    <xf numFmtId="0" fontId="53" fillId="2" borderId="6" xfId="0" applyFont="1" applyFill="1" applyBorder="1" applyAlignment="1" applyProtection="1">
      <alignment horizontal="center"/>
      <protection hidden="1"/>
    </xf>
    <xf numFmtId="49" fontId="53" fillId="5" borderId="6" xfId="0" applyNumberFormat="1" applyFont="1" applyFill="1" applyBorder="1" applyAlignment="1" applyProtection="1">
      <alignment horizontal="center"/>
      <protection locked="0" hidden="1"/>
    </xf>
    <xf numFmtId="49" fontId="53" fillId="5" borderId="2" xfId="0" applyNumberFormat="1" applyFont="1" applyFill="1" applyBorder="1" applyAlignment="1" applyProtection="1">
      <alignment horizontal="center"/>
      <protection locked="0" hidden="1"/>
    </xf>
    <xf numFmtId="14" fontId="54" fillId="0" borderId="6" xfId="0" applyNumberFormat="1" applyFont="1" applyFill="1" applyBorder="1" applyAlignment="1" applyProtection="1">
      <alignment horizontal="center"/>
      <protection locked="0" hidden="1"/>
    </xf>
    <xf numFmtId="14" fontId="55" fillId="0" borderId="6" xfId="0" applyNumberFormat="1" applyFont="1" applyFill="1" applyBorder="1" applyAlignment="1" applyProtection="1">
      <alignment horizontal="center"/>
      <protection locked="0" hidden="1"/>
    </xf>
    <xf numFmtId="0" fontId="0" fillId="0" borderId="6" xfId="0" applyFill="1" applyBorder="1" applyAlignment="1">
      <alignment horizontal="center" vertical="center"/>
    </xf>
    <xf numFmtId="0" fontId="53" fillId="0" borderId="6" xfId="0" applyNumberFormat="1" applyFont="1" applyFill="1" applyBorder="1" applyAlignment="1" applyProtection="1">
      <alignment horizontal="center"/>
      <protection locked="0" hidden="1"/>
    </xf>
    <xf numFmtId="0" fontId="53" fillId="0" borderId="6" xfId="0" applyFont="1" applyFill="1" applyBorder="1" applyAlignment="1" applyProtection="1">
      <alignment horizontal="center"/>
      <protection locked="0"/>
    </xf>
    <xf numFmtId="0" fontId="53" fillId="5" borderId="6" xfId="0" applyFont="1" applyFill="1" applyBorder="1" applyAlignment="1" applyProtection="1">
      <alignment horizontal="center"/>
      <protection locked="0" hidden="1"/>
    </xf>
    <xf numFmtId="166" fontId="53" fillId="0" borderId="6" xfId="1" applyNumberFormat="1" applyFont="1" applyFill="1" applyBorder="1" applyAlignment="1" applyProtection="1">
      <alignment horizontal="center" vertical="center"/>
      <protection locked="0"/>
    </xf>
    <xf numFmtId="0" fontId="53" fillId="5" borderId="6" xfId="0" applyFont="1" applyFill="1" applyBorder="1" applyAlignment="1" applyProtection="1">
      <alignment horizontal="center"/>
      <protection locked="0"/>
    </xf>
    <xf numFmtId="9" fontId="53" fillId="5" borderId="6" xfId="1" applyNumberFormat="1" applyFont="1" applyFill="1" applyBorder="1" applyAlignment="1" applyProtection="1">
      <alignment horizontal="center"/>
      <protection locked="0" hidden="1"/>
    </xf>
    <xf numFmtId="9" fontId="53" fillId="0" borderId="6" xfId="1" applyFont="1" applyFill="1" applyBorder="1" applyAlignment="1" applyProtection="1">
      <alignment horizontal="center"/>
      <protection locked="0" hidden="1"/>
    </xf>
    <xf numFmtId="9" fontId="53" fillId="0" borderId="6" xfId="1" applyNumberFormat="1" applyFont="1" applyFill="1" applyBorder="1" applyAlignment="1" applyProtection="1">
      <alignment horizontal="center" vertical="center"/>
      <protection locked="0" hidden="1"/>
    </xf>
    <xf numFmtId="0" fontId="53" fillId="0" borderId="6" xfId="0" applyFont="1" applyFill="1" applyBorder="1" applyAlignment="1" applyProtection="1">
      <alignment horizontal="center" vertical="center"/>
      <protection locked="0" hidden="1"/>
    </xf>
    <xf numFmtId="0" fontId="53" fillId="0" borderId="6" xfId="0" applyFont="1" applyFill="1" applyBorder="1" applyAlignment="1" applyProtection="1">
      <alignment horizontal="center" vertical="center"/>
      <protection locked="0"/>
    </xf>
    <xf numFmtId="0" fontId="53" fillId="0" borderId="6" xfId="0" applyFont="1" applyBorder="1" applyAlignment="1" applyProtection="1">
      <alignment horizontal="center" vertical="center"/>
      <protection locked="0" hidden="1"/>
    </xf>
    <xf numFmtId="0" fontId="53" fillId="0" borderId="6" xfId="0" applyFont="1" applyFill="1" applyBorder="1" applyProtection="1">
      <protection locked="0" hidden="1"/>
    </xf>
    <xf numFmtId="0" fontId="53" fillId="0" borderId="6" xfId="0" applyNumberFormat="1" applyFont="1" applyFill="1" applyBorder="1" applyAlignment="1" applyProtection="1">
      <alignment horizontal="center" vertical="center"/>
      <protection locked="0"/>
    </xf>
    <xf numFmtId="9" fontId="53" fillId="5" borderId="6" xfId="0" applyNumberFormat="1" applyFont="1" applyFill="1" applyBorder="1" applyAlignment="1" applyProtection="1">
      <alignment horizontal="center" vertical="center"/>
      <protection locked="0" hidden="1"/>
    </xf>
    <xf numFmtId="1" fontId="53" fillId="0" borderId="2" xfId="0" applyNumberFormat="1" applyFont="1" applyFill="1" applyBorder="1" applyAlignment="1" applyProtection="1">
      <alignment horizontal="center"/>
      <protection locked="0" hidden="1"/>
    </xf>
    <xf numFmtId="0" fontId="9" fillId="25" borderId="6" xfId="0" applyFont="1" applyFill="1" applyBorder="1" applyAlignment="1" applyProtection="1">
      <alignment horizontal="center"/>
      <protection locked="0"/>
    </xf>
    <xf numFmtId="0" fontId="0" fillId="0" borderId="24" xfId="0" applyNumberFormat="1" applyBorder="1" applyAlignment="1">
      <alignment horizontal="center" vertical="center"/>
    </xf>
    <xf numFmtId="0" fontId="14" fillId="0" borderId="24" xfId="0" applyNumberFormat="1" applyFont="1" applyBorder="1" applyAlignment="1">
      <alignment horizontal="center" vertical="center"/>
    </xf>
    <xf numFmtId="0" fontId="0" fillId="0" borderId="49" xfId="0" applyNumberFormat="1" applyBorder="1" applyAlignment="1">
      <alignment horizontal="center" vertical="center" wrapText="1"/>
    </xf>
  </cellXfs>
  <cellStyles count="79">
    <cellStyle name="Excel Built-in Normal" xfId="73" xr:uid="{00000000-0005-0000-0000-000000000000}"/>
    <cellStyle name="Excel Built-in Normal 2" xfId="74" xr:uid="{00000000-0005-0000-0000-000001000000}"/>
    <cellStyle name="Millares 2" xfId="2" xr:uid="{00000000-0005-0000-0000-000002000000}"/>
    <cellStyle name="Millares 2 2" xfId="4" xr:uid="{00000000-0005-0000-0000-000003000000}"/>
    <cellStyle name="Millares 2 2 2" xfId="5" xr:uid="{00000000-0005-0000-0000-000004000000}"/>
    <cellStyle name="Millares 2 2 2 2" xfId="7" xr:uid="{00000000-0005-0000-0000-000005000000}"/>
    <cellStyle name="Millares 2 2 2 2 2" xfId="11" xr:uid="{00000000-0005-0000-0000-000006000000}"/>
    <cellStyle name="Millares 2 2 2 2 2 2" xfId="19" xr:uid="{00000000-0005-0000-0000-000007000000}"/>
    <cellStyle name="Millares 2 2 2 2 2 2 2" xfId="35" xr:uid="{00000000-0005-0000-0000-000008000000}"/>
    <cellStyle name="Millares 2 2 2 2 2 2 2 2" xfId="69" xr:uid="{00000000-0005-0000-0000-000009000000}"/>
    <cellStyle name="Millares 2 2 2 2 2 2 3" xfId="53" xr:uid="{00000000-0005-0000-0000-00000A000000}"/>
    <cellStyle name="Millares 2 2 2 2 2 3" xfId="27" xr:uid="{00000000-0005-0000-0000-00000B000000}"/>
    <cellStyle name="Millares 2 2 2 2 2 3 2" xfId="61" xr:uid="{00000000-0005-0000-0000-00000C000000}"/>
    <cellStyle name="Millares 2 2 2 2 2 4" xfId="45" xr:uid="{00000000-0005-0000-0000-00000D000000}"/>
    <cellStyle name="Millares 2 2 2 2 3" xfId="15" xr:uid="{00000000-0005-0000-0000-00000E000000}"/>
    <cellStyle name="Millares 2 2 2 2 3 2" xfId="31" xr:uid="{00000000-0005-0000-0000-00000F000000}"/>
    <cellStyle name="Millares 2 2 2 2 3 2 2" xfId="65" xr:uid="{00000000-0005-0000-0000-000010000000}"/>
    <cellStyle name="Millares 2 2 2 2 3 3" xfId="49" xr:uid="{00000000-0005-0000-0000-000011000000}"/>
    <cellStyle name="Millares 2 2 2 2 4" xfId="23" xr:uid="{00000000-0005-0000-0000-000012000000}"/>
    <cellStyle name="Millares 2 2 2 2 4 2" xfId="57" xr:uid="{00000000-0005-0000-0000-000013000000}"/>
    <cellStyle name="Millares 2 2 2 2 5" xfId="41" xr:uid="{00000000-0005-0000-0000-000014000000}"/>
    <cellStyle name="Millares 2 2 2 3" xfId="9" xr:uid="{00000000-0005-0000-0000-000015000000}"/>
    <cellStyle name="Millares 2 2 2 3 2" xfId="17" xr:uid="{00000000-0005-0000-0000-000016000000}"/>
    <cellStyle name="Millares 2 2 2 3 2 2" xfId="33" xr:uid="{00000000-0005-0000-0000-000017000000}"/>
    <cellStyle name="Millares 2 2 2 3 2 2 2" xfId="67" xr:uid="{00000000-0005-0000-0000-000018000000}"/>
    <cellStyle name="Millares 2 2 2 3 2 3" xfId="51" xr:uid="{00000000-0005-0000-0000-000019000000}"/>
    <cellStyle name="Millares 2 2 2 3 3" xfId="25" xr:uid="{00000000-0005-0000-0000-00001A000000}"/>
    <cellStyle name="Millares 2 2 2 3 3 2" xfId="59" xr:uid="{00000000-0005-0000-0000-00001B000000}"/>
    <cellStyle name="Millares 2 2 2 3 4" xfId="43" xr:uid="{00000000-0005-0000-0000-00001C000000}"/>
    <cellStyle name="Millares 2 2 2 4" xfId="13" xr:uid="{00000000-0005-0000-0000-00001D000000}"/>
    <cellStyle name="Millares 2 2 2 4 2" xfId="29" xr:uid="{00000000-0005-0000-0000-00001E000000}"/>
    <cellStyle name="Millares 2 2 2 4 2 2" xfId="63" xr:uid="{00000000-0005-0000-0000-00001F000000}"/>
    <cellStyle name="Millares 2 2 2 4 3" xfId="47" xr:uid="{00000000-0005-0000-0000-000020000000}"/>
    <cellStyle name="Millares 2 2 2 5" xfId="21" xr:uid="{00000000-0005-0000-0000-000021000000}"/>
    <cellStyle name="Millares 2 2 2 5 2" xfId="55" xr:uid="{00000000-0005-0000-0000-000022000000}"/>
    <cellStyle name="Millares 2 2 2 6" xfId="39" xr:uid="{00000000-0005-0000-0000-000023000000}"/>
    <cellStyle name="Millares 2 2 3" xfId="6" xr:uid="{00000000-0005-0000-0000-000024000000}"/>
    <cellStyle name="Millares 2 2 3 2" xfId="10" xr:uid="{00000000-0005-0000-0000-000025000000}"/>
    <cellStyle name="Millares 2 2 3 2 2" xfId="18" xr:uid="{00000000-0005-0000-0000-000026000000}"/>
    <cellStyle name="Millares 2 2 3 2 2 2" xfId="34" xr:uid="{00000000-0005-0000-0000-000027000000}"/>
    <cellStyle name="Millares 2 2 3 2 2 2 2" xfId="68" xr:uid="{00000000-0005-0000-0000-000028000000}"/>
    <cellStyle name="Millares 2 2 3 2 2 3" xfId="52" xr:uid="{00000000-0005-0000-0000-000029000000}"/>
    <cellStyle name="Millares 2 2 3 2 3" xfId="26" xr:uid="{00000000-0005-0000-0000-00002A000000}"/>
    <cellStyle name="Millares 2 2 3 2 3 2" xfId="60" xr:uid="{00000000-0005-0000-0000-00002B000000}"/>
    <cellStyle name="Millares 2 2 3 2 4" xfId="44" xr:uid="{00000000-0005-0000-0000-00002C000000}"/>
    <cellStyle name="Millares 2 2 3 3" xfId="14" xr:uid="{00000000-0005-0000-0000-00002D000000}"/>
    <cellStyle name="Millares 2 2 3 3 2" xfId="30" xr:uid="{00000000-0005-0000-0000-00002E000000}"/>
    <cellStyle name="Millares 2 2 3 3 2 2" xfId="64" xr:uid="{00000000-0005-0000-0000-00002F000000}"/>
    <cellStyle name="Millares 2 2 3 3 3" xfId="48" xr:uid="{00000000-0005-0000-0000-000030000000}"/>
    <cellStyle name="Millares 2 2 3 4" xfId="22" xr:uid="{00000000-0005-0000-0000-000031000000}"/>
    <cellStyle name="Millares 2 2 3 4 2" xfId="56" xr:uid="{00000000-0005-0000-0000-000032000000}"/>
    <cellStyle name="Millares 2 2 3 5" xfId="40" xr:uid="{00000000-0005-0000-0000-000033000000}"/>
    <cellStyle name="Millares 2 2 4" xfId="8" xr:uid="{00000000-0005-0000-0000-000034000000}"/>
    <cellStyle name="Millares 2 2 4 2" xfId="16" xr:uid="{00000000-0005-0000-0000-000035000000}"/>
    <cellStyle name="Millares 2 2 4 2 2" xfId="32" xr:uid="{00000000-0005-0000-0000-000036000000}"/>
    <cellStyle name="Millares 2 2 4 2 2 2" xfId="66" xr:uid="{00000000-0005-0000-0000-000037000000}"/>
    <cellStyle name="Millares 2 2 4 2 3" xfId="50" xr:uid="{00000000-0005-0000-0000-000038000000}"/>
    <cellStyle name="Millares 2 2 4 3" xfId="24" xr:uid="{00000000-0005-0000-0000-000039000000}"/>
    <cellStyle name="Millares 2 2 4 3 2" xfId="58" xr:uid="{00000000-0005-0000-0000-00003A000000}"/>
    <cellStyle name="Millares 2 2 4 4" xfId="42" xr:uid="{00000000-0005-0000-0000-00003B000000}"/>
    <cellStyle name="Millares 2 2 5" xfId="12" xr:uid="{00000000-0005-0000-0000-00003C000000}"/>
    <cellStyle name="Millares 2 2 5 2" xfId="28" xr:uid="{00000000-0005-0000-0000-00003D000000}"/>
    <cellStyle name="Millares 2 2 5 2 2" xfId="62" xr:uid="{00000000-0005-0000-0000-00003E000000}"/>
    <cellStyle name="Millares 2 2 5 3" xfId="46" xr:uid="{00000000-0005-0000-0000-00003F000000}"/>
    <cellStyle name="Millares 2 2 6" xfId="20" xr:uid="{00000000-0005-0000-0000-000040000000}"/>
    <cellStyle name="Millares 2 2 6 2" xfId="54" xr:uid="{00000000-0005-0000-0000-000041000000}"/>
    <cellStyle name="Millares 2 2 7" xfId="38" xr:uid="{00000000-0005-0000-0000-000042000000}"/>
    <cellStyle name="Millares 2 3" xfId="37" xr:uid="{00000000-0005-0000-0000-000043000000}"/>
    <cellStyle name="Millares 2 4" xfId="72" xr:uid="{00000000-0005-0000-0000-000044000000}"/>
    <cellStyle name="Millares 3" xfId="36" xr:uid="{00000000-0005-0000-0000-000045000000}"/>
    <cellStyle name="Millares 3 2" xfId="70" xr:uid="{00000000-0005-0000-0000-000046000000}"/>
    <cellStyle name="Millares 4" xfId="71" xr:uid="{00000000-0005-0000-0000-000047000000}"/>
    <cellStyle name="Normal" xfId="0" builtinId="0"/>
    <cellStyle name="Normal 10" xfId="76" xr:uid="{00000000-0005-0000-0000-000049000000}"/>
    <cellStyle name="Normal 13" xfId="75" xr:uid="{00000000-0005-0000-0000-00004A000000}"/>
    <cellStyle name="Normal 2" xfId="77" xr:uid="{00000000-0005-0000-0000-00004B000000}"/>
    <cellStyle name="Normal 2 3" xfId="3" xr:uid="{00000000-0005-0000-0000-00004C000000}"/>
    <cellStyle name="Normal 2 4" xfId="78" xr:uid="{00000000-0005-0000-0000-00004D000000}"/>
    <cellStyle name="Porcentaje" xfId="1" builtinId="5"/>
  </cellStyles>
  <dxfs count="977">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border>
    </dxf>
    <dxf>
      <border>
        <horizontal style="hair">
          <color indexed="64"/>
        </horizont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border>
        <horizontal style="hair">
          <color auto="1"/>
        </horizontal>
      </border>
    </dxf>
    <dxf>
      <border>
        <bottom style="medium">
          <color indexed="64"/>
        </bottom>
      </border>
    </dxf>
    <dxf>
      <border>
        <bottom style="medium">
          <color indexed="64"/>
        </bottom>
      </border>
    </dxf>
    <dxf>
      <border>
        <bottom style="medium">
          <color indexed="64"/>
        </bottom>
      </border>
    </dxf>
    <dxf>
      <border>
        <top style="medium">
          <color auto="1"/>
        </top>
      </border>
    </dxf>
    <dxf>
      <border>
        <top style="medium">
          <color auto="1"/>
        </top>
      </border>
    </dxf>
    <dxf>
      <border>
        <vertical style="medium">
          <color indexed="64"/>
        </vertical>
      </border>
    </dxf>
    <dxf>
      <numFmt numFmtId="3" formatCode="#,##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3" formatCode="#,##0"/>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numFmt numFmtId="0" formatCode="General"/>
    </dxf>
    <dxf>
      <numFmt numFmtId="1" formatCode="0"/>
    </dxf>
    <dxf>
      <alignment wrapText="1"/>
    </dxf>
    <dxf>
      <alignment wrapText="1"/>
    </dxf>
    <dxf>
      <alignment wrapText="1"/>
    </dxf>
    <dxf>
      <border>
        <right style="medium">
          <color indexed="64"/>
        </right>
      </border>
    </dxf>
    <dxf>
      <border>
        <right style="medium">
          <color indexed="64"/>
        </right>
      </border>
    </dxf>
    <dxf>
      <border>
        <right style="medium">
          <color indexed="64"/>
        </right>
      </border>
    </dxf>
    <dxf>
      <numFmt numFmtId="3" formatCode="#,##0"/>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horizontal/>
      </border>
    </dxf>
    <dxf>
      <border>
        <horizontal/>
      </border>
    </dxf>
    <dxf>
      <border>
        <horizontal/>
      </border>
    </dxf>
    <dxf>
      <border>
        <horizontal/>
      </border>
    </dxf>
    <dxf>
      <border>
        <top style="medium">
          <color auto="1"/>
        </top>
        <bottom style="medium">
          <color auto="1"/>
        </bottom>
      </border>
    </dxf>
    <dxf>
      <border>
        <top style="medium">
          <color indexed="64"/>
        </top>
      </border>
    </dxf>
    <dxf>
      <alignment horizontal="center"/>
    </dxf>
    <dxf>
      <alignment horizontal="center"/>
    </dxf>
    <dxf>
      <alignment horizontal="center"/>
    </dxf>
    <dxf>
      <numFmt numFmtId="3" formatCode="#,##0"/>
    </dxf>
    <dxf>
      <alignment horizontal="center"/>
    </dxf>
    <dxf>
      <border>
        <top style="medium">
          <color auto="1"/>
        </top>
        <bottom style="medium">
          <color auto="1"/>
        </bottom>
      </border>
    </dxf>
    <dxf>
      <border>
        <left style="medium">
          <color auto="1"/>
        </left>
      </border>
    </dxf>
    <dxf>
      <numFmt numFmtId="3" formatCode="#,##0"/>
      <alignment horizontal="center"/>
    </dxf>
    <dxf>
      <border>
        <bottom style="medium">
          <color indexed="64"/>
        </bottom>
      </border>
    </dxf>
    <dxf>
      <border>
        <top style="medium">
          <color auto="1"/>
        </top>
      </border>
    </dxf>
    <dxf>
      <numFmt numFmtId="1" formatCode="0"/>
    </dxf>
    <dxf>
      <border>
        <left style="medium">
          <color auto="1"/>
        </left>
      </border>
    </dxf>
    <dxf>
      <font>
        <i val="0"/>
      </font>
    </dxf>
    <dxf>
      <font>
        <b/>
      </font>
    </dxf>
    <dxf>
      <border>
        <vertical style="medium">
          <color indexed="64"/>
        </vertical>
        <horizontal style="hair">
          <color indexed="64"/>
        </horizontal>
      </border>
    </dxf>
    <dxf>
      <numFmt numFmtId="3" formatCode="#,##0"/>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left style="medium">
          <color indexed="64"/>
        </left>
      </border>
    </dxf>
    <dxf>
      <border>
        <horizontal style="hair">
          <color indexed="64"/>
        </horizontal>
      </border>
    </dxf>
    <dxf>
      <numFmt numFmtId="13" formatCode="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dxf>
    <dxf>
      <border>
        <top style="medium">
          <color auto="1"/>
        </top>
      </border>
    </dxf>
    <dxf>
      <alignment horizontal="center"/>
    </dxf>
    <dxf>
      <alignment horizontal="center"/>
    </dxf>
    <dxf>
      <alignment horizontal="center"/>
    </dxf>
    <dxf>
      <alignment horizontal="center"/>
    </dxf>
    <dxf>
      <border>
        <top style="medium">
          <color auto="1"/>
        </top>
      </border>
    </dxf>
    <dxf>
      <alignment horizontal="center"/>
    </dxf>
    <dxf>
      <alignment horizontal="center"/>
    </dxf>
    <dxf>
      <alignment horizontal="center"/>
    </dxf>
    <dxf>
      <numFmt numFmtId="3" formatCode="#,##0"/>
    </dxf>
    <dxf>
      <alignment horizontal="center"/>
    </dxf>
    <dxf>
      <numFmt numFmtId="14" formatCode="0.00%"/>
    </dxf>
    <dxf>
      <font>
        <b/>
      </font>
    </dxf>
    <dxf>
      <numFmt numFmtId="3" formatCode="#,##0"/>
    </dxf>
    <dxf>
      <alignment horizontal="center"/>
    </dxf>
    <dxf>
      <border>
        <bottom style="medium">
          <color indexed="64"/>
        </bottom>
      </border>
    </dxf>
    <dxf>
      <numFmt numFmtId="14" formatCode="0.00%"/>
    </dxf>
    <dxf>
      <border>
        <vertical style="medium">
          <color auto="1"/>
        </vertical>
      </border>
    </dxf>
    <dxf>
      <numFmt numFmtId="3" formatCode="#,##0"/>
      <alignment horizontal="cent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font>
        <b/>
      </font>
    </dxf>
    <dxf>
      <border>
        <horizontal style="hair">
          <color auto="1"/>
        </horizontal>
      </border>
    </dxf>
    <dxf>
      <border>
        <bottom style="medium">
          <color indexed="64"/>
        </bottom>
      </border>
    </dxf>
    <dxf>
      <border>
        <bottom style="medium">
          <color indexed="64"/>
        </bottom>
      </border>
    </dxf>
    <dxf>
      <border>
        <bottom style="medium">
          <color indexed="64"/>
        </bottom>
      </border>
    </dxf>
    <dxf>
      <border>
        <top style="medium">
          <color auto="1"/>
        </top>
      </border>
    </dxf>
    <dxf>
      <border>
        <top style="medium">
          <color auto="1"/>
        </top>
      </border>
    </dxf>
    <dxf>
      <border>
        <vertical style="medium">
          <color indexed="64"/>
        </vertical>
      </border>
    </dxf>
    <dxf>
      <numFmt numFmtId="3" formatCode="#,##0"/>
    </dxf>
    <dxf>
      <numFmt numFmtId="13" formatCode="0%"/>
    </dxf>
    <dxf>
      <alignment horizontal="center"/>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numFmt numFmtId="14" formatCode="0.00%"/>
    </dxf>
    <dxf>
      <numFmt numFmtId="3" formatCode="#,##0"/>
    </dxf>
    <dxf>
      <numFmt numFmtId="13" formatCode="0%"/>
    </dxf>
    <dxf>
      <alignment horizontal="center"/>
    </dxf>
    <dxf>
      <alignment horizont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wrapText="1"/>
    </dxf>
    <dxf>
      <font>
        <b/>
      </font>
    </dxf>
    <dxf>
      <alignment vertical="center"/>
    </dxf>
    <dxf>
      <font>
        <b/>
      </font>
    </dxf>
    <dxf>
      <font>
        <b/>
      </font>
      <fill>
        <patternFill patternType="solid">
          <fgColor indexed="64"/>
          <bgColor theme="4" tint="0.59996337778862885"/>
        </patternFill>
      </fill>
    </dxf>
    <dxf>
      <numFmt numFmtId="14" formatCode="0.00%"/>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horizontal="center"/>
    </dxf>
    <dxf>
      <alignment vertic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dxf>
    <dxf>
      <font>
        <b/>
      </font>
      <fill>
        <patternFill patternType="solid">
          <fgColor indexed="64"/>
          <bgColor theme="4" tint="0.59996337778862885"/>
        </patternFill>
      </fill>
    </dxf>
    <dxf>
      <alignment wrapText="1"/>
    </dxf>
    <dxf>
      <font>
        <b/>
      </font>
    </dxf>
    <dxf>
      <alignment wrapText="1"/>
    </dxf>
    <dxf>
      <alignment wrapText="1"/>
    </dxf>
    <dxf>
      <alignment wrapText="1"/>
    </dxf>
    <dxf>
      <alignment horizontal="center"/>
    </dxf>
    <dxf>
      <alignment horizontal="center"/>
    </dxf>
    <dxf>
      <alignment vertical="center"/>
    </dxf>
    <dxf>
      <alignment vertical="center"/>
    </dxf>
    <dxf>
      <font>
        <b/>
      </font>
    </dxf>
    <dxf>
      <font>
        <b/>
      </font>
    </dxf>
    <dxf>
      <alignment horizontal="center"/>
    </dxf>
    <dxf>
      <alignment vertical="center"/>
    </dxf>
    <dxf>
      <alignment wrapText="1"/>
    </dxf>
    <dxf>
      <alignment wrapText="1"/>
    </dxf>
    <dxf>
      <alignment vertical="center"/>
    </dxf>
    <dxf>
      <alignment horizontal="center"/>
    </dxf>
    <dxf>
      <alignment horizontal="center"/>
    </dxf>
    <dxf>
      <alignment horizontal="center"/>
    </dxf>
    <dxf>
      <alignment vertical="center"/>
    </dxf>
    <dxf>
      <alignment vertical="cent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numFmt numFmtId="14" formatCode="0.00%"/>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numFmt numFmtId="14" formatCode="0.00%"/>
    </dxf>
    <dxf>
      <fill>
        <patternFill>
          <bgColor rgb="FFFFFF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rgb="FFFFFFFF"/>
        </patternFill>
      </fill>
    </dxf>
    <dxf>
      <fill>
        <patternFill patternType="solid">
          <fgColor rgb="FFFFFFFF"/>
        </patternFill>
      </fill>
    </dxf>
    <dxf>
      <fill>
        <patternFill patternType="solid">
          <fgColor rgb="FFFF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FFFF"/>
        </patternFill>
      </fill>
    </dxf>
    <dxf>
      <fill>
        <patternFill patternType="solid">
          <fgColor rgb="FFFFFFFF"/>
        </patternFill>
      </fill>
    </dxf>
    <dxf>
      <fill>
        <patternFill patternType="solid">
          <fgColor rgb="FFFFFFFF"/>
        </patternFill>
      </fill>
    </dxf>
    <dxf>
      <fill>
        <patternFill patternType="solid">
          <fgColor rgb="FFFF0000"/>
          <bgColor rgb="FF000000"/>
        </patternFill>
      </fill>
    </dxf>
    <dxf>
      <numFmt numFmtId="3" formatCode="#,##0"/>
    </dxf>
    <dxf>
      <border>
        <vertical style="medium">
          <color indexed="64"/>
        </vertical>
      </border>
    </dxf>
    <dxf>
      <border>
        <top style="medium">
          <color auto="1"/>
        </top>
      </border>
    </dxf>
    <dxf>
      <border>
        <top style="medium">
          <color auto="1"/>
        </top>
      </border>
    </dxf>
    <dxf>
      <border>
        <bottom style="medium">
          <color indexed="64"/>
        </bottom>
      </border>
    </dxf>
    <dxf>
      <border>
        <bottom style="medium">
          <color indexed="64"/>
        </bottom>
      </border>
    </dxf>
    <dxf>
      <border>
        <bottom style="medium">
          <color indexed="64"/>
        </bottom>
      </border>
    </dxf>
    <dxf>
      <border>
        <horizontal style="hair">
          <color auto="1"/>
        </horizontal>
      </border>
    </dxf>
    <dxf>
      <font>
        <b/>
      </font>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left style="medium">
          <color auto="1"/>
        </left>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numFmt numFmtId="3" formatCode="#,##0"/>
      <alignment horizontal="center"/>
    </dxf>
    <dxf>
      <border>
        <vertical style="medium">
          <color auto="1"/>
        </vertical>
      </border>
    </dxf>
    <dxf>
      <numFmt numFmtId="14" formatCode="0.00%"/>
    </dxf>
    <dxf>
      <border>
        <bottom style="medium">
          <color indexed="64"/>
        </bottom>
      </border>
    </dxf>
    <dxf>
      <alignment horizontal="center"/>
    </dxf>
    <dxf>
      <numFmt numFmtId="3" formatCode="#,##0"/>
    </dxf>
    <dxf>
      <font>
        <b/>
      </font>
    </dxf>
    <dxf>
      <numFmt numFmtId="14" formatCode="0.00%"/>
    </dxf>
    <dxf>
      <alignment horizontal="center"/>
    </dxf>
    <dxf>
      <numFmt numFmtId="3" formatCode="#,##0"/>
    </dxf>
    <dxf>
      <alignment horizontal="center"/>
    </dxf>
    <dxf>
      <alignment horizontal="center"/>
    </dxf>
    <dxf>
      <alignment horizontal="center"/>
    </dxf>
    <dxf>
      <border>
        <top style="medium">
          <color auto="1"/>
        </top>
      </border>
    </dxf>
    <dxf>
      <alignment horizontal="center"/>
    </dxf>
    <dxf>
      <alignment horizontal="center"/>
    </dxf>
    <dxf>
      <alignment horizontal="center"/>
    </dxf>
    <dxf>
      <alignment horizontal="center"/>
    </dxf>
    <dxf>
      <border>
        <top style="medium">
          <color auto="1"/>
        </top>
      </border>
    </dxf>
    <dxf>
      <numFmt numFmtId="3" formatCode="#,##0"/>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3" formatCode="0%"/>
    </dxf>
    <dxf>
      <border>
        <horizontal style="hair">
          <color indexed="64"/>
        </horizontal>
      </border>
    </dxf>
    <dxf>
      <border>
        <left style="medium">
          <color indexed="64"/>
        </left>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top style="medium">
          <color indexed="64"/>
        </top>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3" formatCode="#,##0"/>
      <alignment horizontal="center"/>
    </dxf>
    <dxf>
      <border>
        <vertical style="medium">
          <color indexed="64"/>
        </vertical>
        <horizontal style="hair">
          <color indexed="64"/>
        </horizontal>
      </border>
    </dxf>
    <dxf>
      <font>
        <b/>
      </font>
    </dxf>
    <dxf>
      <font>
        <i val="0"/>
      </font>
    </dxf>
    <dxf>
      <border>
        <left style="medium">
          <color auto="1"/>
        </left>
      </border>
    </dxf>
    <dxf>
      <numFmt numFmtId="1" formatCode="0"/>
    </dxf>
    <dxf>
      <border>
        <top style="medium">
          <color auto="1"/>
        </top>
      </border>
    </dxf>
    <dxf>
      <border>
        <bottom style="medium">
          <color indexed="64"/>
        </bottom>
      </border>
    </dxf>
    <dxf>
      <numFmt numFmtId="3" formatCode="#,##0"/>
      <alignment horizontal="center"/>
    </dxf>
    <dxf>
      <border>
        <left style="medium">
          <color auto="1"/>
        </left>
      </border>
    </dxf>
    <dxf>
      <border>
        <top style="medium">
          <color auto="1"/>
        </top>
        <bottom style="medium">
          <color auto="1"/>
        </bottom>
      </border>
    </dxf>
    <dxf>
      <alignment horizontal="center"/>
    </dxf>
    <dxf>
      <numFmt numFmtId="3" formatCode="#,##0"/>
    </dxf>
    <dxf>
      <alignment horizontal="center"/>
    </dxf>
    <dxf>
      <alignment horizontal="center"/>
    </dxf>
    <dxf>
      <alignment horizontal="center"/>
    </dxf>
    <dxf>
      <border>
        <top style="medium">
          <color indexed="64"/>
        </top>
      </border>
    </dxf>
    <dxf>
      <border>
        <top style="medium">
          <color auto="1"/>
        </top>
        <bottom style="medium">
          <color auto="1"/>
        </bottom>
      </border>
    </dxf>
    <dxf>
      <border>
        <horizontal/>
      </border>
    </dxf>
    <dxf>
      <border>
        <horizontal/>
      </border>
    </dxf>
    <dxf>
      <border>
        <horizontal/>
      </border>
    </dxf>
    <dxf>
      <border>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numFmt numFmtId="3" formatCode="#,##0"/>
    </dxf>
    <dxf>
      <border>
        <right style="medium">
          <color indexed="64"/>
        </right>
      </border>
    </dxf>
    <dxf>
      <border>
        <right style="medium">
          <color indexed="64"/>
        </right>
      </border>
    </dxf>
    <dxf>
      <border>
        <right style="medium">
          <color indexed="64"/>
        </right>
      </border>
    </dxf>
    <dxf>
      <alignment wrapText="1"/>
    </dxf>
    <dxf>
      <alignment wrapText="1"/>
    </dxf>
    <dxf>
      <alignment wrapText="1"/>
    </dxf>
    <dxf>
      <numFmt numFmtId="1" formatCode="0"/>
    </dxf>
    <dxf>
      <numFmt numFmtId="0" formatCode="General"/>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numFmt numFmtId="13" formatCode="0%"/>
    </dxf>
    <dxf>
      <numFmt numFmtId="14" formatCode="0.00%"/>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numFmt numFmtId="14" formatCode="0.00%"/>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vertical="center"/>
    </dxf>
    <dxf>
      <alignment vertical="center"/>
    </dxf>
    <dxf>
      <alignment horizontal="center"/>
    </dxf>
    <dxf>
      <alignment horizontal="center"/>
    </dxf>
    <dxf>
      <alignment horizontal="center"/>
    </dxf>
    <dxf>
      <alignment vertical="center"/>
    </dxf>
    <dxf>
      <alignment wrapText="1"/>
    </dxf>
    <dxf>
      <alignment wrapText="1"/>
    </dxf>
    <dxf>
      <alignment vertical="center"/>
    </dxf>
    <dxf>
      <alignment horizontal="center"/>
    </dxf>
    <dxf>
      <font>
        <b/>
      </font>
    </dxf>
    <dxf>
      <font>
        <b/>
      </font>
    </dxf>
    <dxf>
      <alignment vertical="center"/>
    </dxf>
    <dxf>
      <alignment vertical="center"/>
    </dxf>
    <dxf>
      <alignment horizontal="center"/>
    </dxf>
    <dxf>
      <alignment horizontal="center"/>
    </dxf>
    <dxf>
      <alignment wrapText="1"/>
    </dxf>
    <dxf>
      <alignment wrapText="1"/>
    </dxf>
    <dxf>
      <alignment wrapText="1"/>
    </dxf>
    <dxf>
      <font>
        <b/>
      </font>
    </dxf>
    <dxf>
      <alignment wrapText="1"/>
    </dxf>
    <dxf>
      <font>
        <b/>
      </font>
      <fill>
        <patternFill patternType="solid">
          <fgColor indexed="64"/>
          <bgColor theme="4" tint="0.59996337778862885"/>
        </patternFill>
      </fill>
    </dxf>
    <dxf>
      <font>
        <b/>
      </font>
      <fill>
        <patternFill patternType="solid">
          <fgColor indexed="64"/>
          <bgColor theme="4" tint="0.59996337778862885"/>
        </patternFill>
      </fill>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alignment vertical="center"/>
    </dxf>
    <dxf>
      <alignment vertical="center"/>
    </dxf>
    <dxf>
      <alignment vertical="center"/>
    </dxf>
    <dxf>
      <alignment horizontal="center"/>
    </dxf>
    <dxf>
      <alignment horizontal="center"/>
    </dxf>
    <dxf>
      <alignment horizontal="center"/>
    </dxf>
    <dxf>
      <alignment horizontal="center"/>
    </dxf>
    <dxf>
      <alignment vertical="center"/>
    </dxf>
    <dxf>
      <alignment wrapText="1"/>
    </dxf>
    <dxf>
      <alignment wrapText="1"/>
    </dxf>
    <dxf>
      <alignment vertical="center"/>
    </dxf>
    <dxf>
      <alignment horizontal="center"/>
    </dxf>
    <dxf>
      <numFmt numFmtId="14" formatCode="0.00%"/>
    </dxf>
    <dxf>
      <font>
        <b/>
      </font>
      <fill>
        <patternFill patternType="solid">
          <fgColor indexed="64"/>
          <bgColor theme="4" tint="0.59996337778862885"/>
        </patternFill>
      </fill>
    </dxf>
    <dxf>
      <font>
        <b/>
      </font>
    </dxf>
    <dxf>
      <alignment vertical="center"/>
    </dxf>
    <dxf>
      <font>
        <b/>
      </font>
    </dxf>
    <dxf>
      <alignment wrapText="1"/>
    </dxf>
    <dxf>
      <border>
        <left style="medium">
          <color indexed="64"/>
        </left>
        <right style="medium">
          <color indexed="64"/>
        </right>
        <top style="medium">
          <color indexed="64"/>
        </top>
        <bottom style="medium">
          <color indexed="64"/>
        </bottom>
        <vertical style="medium">
          <color indexed="64"/>
        </vertical>
        <horizontal style="medium">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alignment wrapText="1"/>
    </dxf>
    <dxf>
      <alignment wrapText="1"/>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numFmt numFmtId="13" formatCode="0%"/>
    </dxf>
    <dxf>
      <numFmt numFmtId="3" formatCode="#,##0"/>
    </dxf>
    <dxf>
      <numFmt numFmtId="14" formatCode="0.00%"/>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border>
        <right style="medium">
          <color indexed="64"/>
        </right>
        <top style="medium">
          <color indexed="64"/>
        </top>
        <bottom style="medium">
          <color indexed="64"/>
        </bottom>
        <vertical style="medium">
          <color indexed="64"/>
        </vertical>
        <horizontal style="medium">
          <color indexed="64"/>
        </horizontal>
      </border>
    </dxf>
    <dxf>
      <font>
        <b/>
      </font>
      <fill>
        <patternFill patternType="solid">
          <fgColor indexed="64"/>
          <bgColor theme="4" tint="0.59996337778862885"/>
        </patternFill>
      </fill>
      <alignment vertical="center"/>
    </dxf>
    <dxf>
      <font>
        <b/>
      </font>
      <fill>
        <patternFill patternType="solid">
          <fgColor indexed="64"/>
          <bgColor theme="4" tint="0.59996337778862885"/>
        </patternFill>
      </fill>
      <alignment vertical="cent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medium">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alignment horizontal="center"/>
    </dxf>
    <dxf>
      <alignment horizontal="center"/>
    </dxf>
    <dxf>
      <alignment horizontal="center"/>
    </dxf>
    <dxf>
      <alignment horizontal="center"/>
    </dxf>
    <dxf>
      <alignment horizontal="center"/>
    </dxf>
    <dxf>
      <alignment horizontal="center"/>
    </dxf>
    <dxf>
      <numFmt numFmtId="13" formatCode="0%"/>
    </dxf>
    <dxf>
      <font>
        <b val="0"/>
        <i val="0"/>
        <strike val="0"/>
        <u val="none"/>
        <sz val="10"/>
        <color theme="1"/>
        <name val="Open Sans"/>
      </font>
      <numFmt numFmtId="4" formatCode="#,##0.00"/>
      <alignment horizontal="center" vertical="bottom" textRotation="0" wrapText="0" shrinkToFit="0" readingOrder="0"/>
      <protection locked="0" hidden="1"/>
    </dxf>
    <dxf>
      <font>
        <b val="0"/>
        <i val="0"/>
        <strike val="0"/>
        <u val="none"/>
        <sz val="10"/>
        <color theme="1"/>
        <name val="Open Sans"/>
      </font>
      <numFmt numFmtId="1" formatCode="0"/>
      <fill>
        <patternFill patternType="none">
          <bgColor theme="0"/>
        </patternFill>
      </fill>
      <alignment horizontal="center" vertical="bottom" textRotation="0" wrapText="0" shrinkToFit="0" readingOrder="0"/>
      <border outline="0">
        <left style="hair">
          <color auto="1"/>
        </left>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dxf>
    <dxf>
      <font>
        <b val="0"/>
        <i val="0"/>
        <strike val="0"/>
        <u val="none"/>
        <sz val="10"/>
        <color theme="1"/>
        <name val="Open Sans"/>
      </font>
      <fill>
        <patternFill patternType="solid">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0" formatCode="General"/>
      <fill>
        <patternFill patternType="none">
          <bgColor theme="0"/>
        </patternFill>
      </fill>
      <alignment horizontal="center" vertical="center" textRotation="0" wrapText="0" indent="0" justifyLastLine="0" shrinkToFit="0" readingOrder="0"/>
      <border outline="0">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border>
        <left style="hair">
          <color auto="1"/>
        </left>
        <right style="hair">
          <color auto="1"/>
        </right>
        <top style="hair">
          <color auto="1"/>
        </top>
        <bottom style="hair">
          <color auto="1"/>
        </bottom>
      </border>
      <protection locked="0" hidden="1"/>
    </dxf>
    <dxf>
      <font>
        <b val="0"/>
        <i val="0"/>
        <strike val="0"/>
        <u val="none"/>
        <sz val="10"/>
        <color theme="1"/>
        <name val="Open Sans"/>
      </font>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center" textRotation="0" wrapText="0" shrinkToFit="0" readingOrder="0"/>
      <border>
        <left style="hair">
          <color auto="1"/>
        </left>
        <right style="hair">
          <color auto="1"/>
        </right>
        <top/>
        <bottom/>
      </border>
      <protection locked="0" hidden="1"/>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condense val="0"/>
        <extend val="0"/>
        <outline val="0"/>
        <shadow val="0"/>
        <u val="none"/>
        <vertAlign val="baseline"/>
        <sz val="10"/>
        <color theme="1"/>
        <name val="Open Sans"/>
        <scheme val="none"/>
      </font>
      <fill>
        <patternFill patternType="solid">
          <fgColor indexed="64"/>
          <bgColor theme="0"/>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13" formatCode="0%"/>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numFmt numFmtId="166" formatCode="0.0%"/>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dxf>
    <dxf>
      <font>
        <b val="0"/>
        <i val="0"/>
        <strike val="0"/>
        <u val="none"/>
        <sz val="10"/>
        <color theme="1"/>
        <name val="Open Sans"/>
      </font>
      <numFmt numFmtId="0" formatCode="General"/>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alignment horizontal="center" vertical="center" textRotation="0" wrapText="0" shrinkToFit="0" readingOrder="0"/>
      <border>
        <left style="hair">
          <color auto="1"/>
        </left>
        <right style="hair">
          <color auto="1"/>
        </right>
        <top style="hair">
          <color auto="1"/>
        </top>
        <bottom style="hair">
          <color auto="1"/>
        </bottom>
      </border>
    </dxf>
    <dxf>
      <fill>
        <patternFill patternType="none">
          <bgColor theme="0"/>
        </patternFill>
      </fill>
      <alignment horizontal="center" vertical="center" textRotation="0" wrapText="0" shrinkToFit="0" readingOrder="0"/>
      <border>
        <left style="hair">
          <color auto="1"/>
        </left>
        <right style="hair">
          <color auto="1"/>
        </right>
        <top style="hair">
          <color auto="1"/>
        </top>
        <bottom style="hair">
          <color auto="1"/>
        </bottom>
        <horizontal style="hair">
          <color auto="1"/>
        </horizontal>
      </border>
    </dxf>
    <dxf>
      <font>
        <b val="0"/>
        <i val="0"/>
        <strike val="0"/>
        <u val="none"/>
        <sz val="10"/>
        <color rgb="FF333333"/>
        <name val="Arial"/>
      </font>
      <numFmt numFmtId="19" formatCode="d/mm/yyyy"/>
      <fill>
        <patternFill patternType="none">
          <bgColor theme="0"/>
        </patternFill>
      </fill>
      <alignment horizontal="center" vertical="bottom" textRotation="0" wrapText="0" shrinkToFit="0" readingOrder="0"/>
      <border outline="0">
        <left style="hair">
          <color auto="1"/>
        </left>
        <right style="hair">
          <color auto="1"/>
        </right>
        <top style="hair">
          <color auto="1"/>
        </top>
        <bottom style="hair">
          <color auto="1"/>
        </bottom>
      </border>
      <protection locked="0" hidden="1"/>
    </dxf>
    <dxf>
      <font>
        <b val="0"/>
        <i val="0"/>
        <strike val="0"/>
        <u val="none"/>
        <sz val="10"/>
        <color theme="1"/>
        <name val="Open Sans"/>
      </font>
      <numFmt numFmtId="19" formatCode="d/mm/yyyy"/>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auto="1"/>
        <name val="Arial"/>
      </font>
      <numFmt numFmtId="19" formatCode="d/mm/yyyy"/>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numFmt numFmtId="30" formatCode="@"/>
      <fill>
        <patternFill patternType="solid">
          <bgColor theme="0"/>
        </patternFill>
      </fill>
      <alignment horizontal="center" vertical="bottom" textRotation="0" wrapText="0" shrinkToFit="0" readingOrder="0"/>
      <border>
        <left style="hair">
          <color auto="1"/>
        </left>
        <right/>
        <top style="hair">
          <color auto="1"/>
        </top>
        <bottom style="hair">
          <color auto="1"/>
        </bottom>
      </border>
      <protection locked="0" hidden="1"/>
    </dxf>
    <dxf>
      <font>
        <b val="0"/>
        <i val="0"/>
        <strike val="0"/>
        <u val="none"/>
        <sz val="10"/>
        <color theme="1"/>
        <name val="Open Sans"/>
      </font>
      <numFmt numFmtId="30" formatCode="@"/>
      <alignment horizontal="center" vertical="bottom" textRotation="0" wrapText="0" shrinkToFit="0" readingOrder="0"/>
      <border>
        <left style="hair">
          <color auto="1"/>
        </left>
        <right style="hair">
          <color auto="1"/>
        </right>
        <top style="hair">
          <color auto="1"/>
        </top>
        <bottom/>
      </border>
      <protection locked="0" hidden="1"/>
    </dxf>
    <dxf>
      <font>
        <b val="0"/>
        <i val="0"/>
        <strike val="0"/>
        <u val="none"/>
        <sz val="10"/>
        <color theme="1"/>
        <name val="Open Sans"/>
      </font>
      <numFmt numFmtId="30" formatCode="@"/>
      <fill>
        <patternFill patternType="solid">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condense val="0"/>
        <extend val="0"/>
        <outline val="0"/>
        <shadow val="0"/>
        <u val="none"/>
        <vertAlign val="baseline"/>
        <sz val="10"/>
        <color theme="1"/>
        <name val="Open Sans"/>
        <scheme val="none"/>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1" hidden="1"/>
    </dxf>
    <dxf>
      <font>
        <b val="0"/>
        <i val="0"/>
        <strike val="0"/>
        <u val="none"/>
        <sz val="10"/>
        <color theme="1"/>
        <name val="Open Sans"/>
      </font>
      <alignment horizontal="center" vertical="bottom" textRotation="0" wrapText="0" shrinkToFit="0" readingOrder="0"/>
      <border>
        <left style="hair">
          <color auto="1"/>
        </left>
        <right style="hair">
          <color auto="1"/>
        </right>
        <top/>
        <bottom style="hair">
          <color auto="1"/>
        </bottom>
      </border>
      <protection locked="0" hidden="1"/>
    </dxf>
    <dxf>
      <font>
        <b val="0"/>
        <i val="0"/>
        <strike val="0"/>
        <u val="none"/>
        <sz val="10"/>
        <color theme="1"/>
        <name val="Open Sans"/>
      </font>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alignment horizontal="center" vertical="bottom" textRotation="0" wrapText="0" shrinkToFit="0" readingOrder="0"/>
      <border>
        <left style="hair">
          <color auto="1"/>
        </left>
        <right style="hair">
          <color auto="1"/>
        </right>
        <top/>
        <bottom style="hair">
          <color auto="1"/>
        </bottom>
      </border>
      <protection locked="0" hidden="1"/>
    </dxf>
    <dxf>
      <fill>
        <patternFill patternType="none">
          <bgColor theme="0"/>
        </patternFill>
      </fill>
      <alignment horizontal="center" vertical="bottom" textRotation="0" wrapText="0" shrinkToFit="0" readingOrder="0"/>
      <border>
        <left style="hair">
          <color auto="1"/>
        </left>
        <right style="hair">
          <color auto="1"/>
        </right>
        <top style="hair">
          <color auto="1"/>
        </top>
        <bottom style="hair">
          <color auto="1"/>
        </bottom>
      </border>
      <protection locked="0" hidden="1"/>
    </dxf>
    <dxf>
      <font>
        <b val="0"/>
        <i val="0"/>
        <strike val="0"/>
        <u val="none"/>
        <sz val="10"/>
        <color theme="1"/>
        <name val="Open Sans"/>
      </font>
      <alignment horizontal="center" vertical="bottom" textRotation="0" wrapText="0" shrinkToFit="0" readingOrder="0"/>
      <border>
        <left/>
        <right style="hair">
          <color auto="1"/>
        </right>
        <top style="hair">
          <color auto="1"/>
        </top>
        <bottom/>
      </border>
      <protection locked="0" hidden="1"/>
    </dxf>
    <dxf>
      <font>
        <b val="0"/>
        <i val="0"/>
        <strike val="0"/>
        <u val="none"/>
        <sz val="10"/>
        <color theme="1"/>
        <name val="Open Sans"/>
      </font>
      <numFmt numFmtId="0" formatCode="General"/>
      <fill>
        <patternFill patternType="none">
          <bgColor theme="0"/>
        </patternFill>
      </fill>
      <alignment horizontal="center" vertical="bottom" textRotation="0" wrapText="0" indent="0" justifyLastLine="0" shrinkToFit="0" readingOrder="0"/>
      <border outline="0">
        <left/>
        <right style="hair">
          <color auto="1"/>
        </right>
        <top style="hair">
          <color auto="1"/>
        </top>
        <bottom style="hair">
          <color auto="1"/>
        </bottom>
      </border>
      <protection locked="0" hidden="1"/>
    </dxf>
    <dxf>
      <border>
        <top style="hair">
          <color auto="1"/>
        </top>
      </border>
    </dxf>
    <dxf>
      <border>
        <left style="hair">
          <color auto="1"/>
        </left>
        <right style="hair">
          <color auto="1"/>
        </right>
        <top style="hair">
          <color auto="1"/>
        </top>
        <bottom style="hair">
          <color auto="1"/>
        </bottom>
      </border>
    </dxf>
    <dxf>
      <fill>
        <patternFill patternType="none">
          <bgColor theme="0"/>
        </patternFill>
      </fill>
    </dxf>
    <dxf>
      <border>
        <bottom style="hair">
          <color auto="1"/>
        </bottom>
      </border>
    </dxf>
    <dxf>
      <font>
        <b/>
        <i val="0"/>
        <strike val="0"/>
        <u val="none"/>
        <sz val="12"/>
        <color rgb="FFFFFFFF"/>
        <name val="Arial"/>
      </font>
      <fill>
        <patternFill patternType="none"/>
      </fill>
      <alignment horizontal="center" vertical="center" textRotation="0" wrapText="1" shrinkToFit="0" readingOrder="0"/>
      <border>
        <left style="hair">
          <color auto="1"/>
        </left>
        <right style="hair">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22/10/relationships/richValueRel" Target="richData/richValueRel.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Ministerio de Educación NACIONAL</a:t>
            </a:r>
          </a:p>
          <a:p>
            <a:pPr>
              <a:defRPr/>
            </a:pPr>
            <a:endParaRPr lang="en-US"/>
          </a:p>
        </c:rich>
      </c:tx>
      <c:layout>
        <c:manualLayout>
          <c:xMode val="edge"/>
          <c:yMode val="edge"/>
          <c:x val="0.1908699387273427"/>
          <c:y val="1.9801974022928503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'Reporte general'!$C$6</c:f>
              <c:strCache>
                <c:ptCount val="1"/>
                <c:pt idx="0">
                  <c:v>Ministerio de Educación Nacional</c:v>
                </c:pt>
              </c:strCache>
            </c:strRef>
          </c:tx>
          <c:spPr>
            <a:solidFill>
              <a:srgbClr val="00B05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1036-4A1B-8E4D-065734968B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'Reporte general'!$D$5:$E$5</c:f>
              <c:strCache>
                <c:ptCount val="2"/>
                <c:pt idx="0">
                  <c:v>Nota calidad global</c:v>
                </c:pt>
                <c:pt idx="1">
                  <c:v>Meta</c:v>
                </c:pt>
              </c:strCache>
            </c:strRef>
          </c:cat>
          <c:val>
            <c:numRef>
              <c:f>'Reporte general'!$D$6:$E$6</c:f>
              <c:numCache>
                <c:formatCode>0.00%</c:formatCode>
                <c:ptCount val="2"/>
                <c:pt idx="0">
                  <c:v>0.99845505617977537</c:v>
                </c:pt>
                <c:pt idx="1">
                  <c:v>0.95</c:v>
                </c:pt>
              </c:numCache>
            </c:numRef>
          </c:val>
          <c:extLst>
            <c:ext xmlns:c16="http://schemas.microsoft.com/office/drawing/2014/chart" uri="{C3380CC4-5D6E-409C-BE32-E72D297353CC}">
              <c16:uniqueId val="{00000000-5177-42A5-9534-EFA9C3C39A05}"/>
            </c:ext>
          </c:extLst>
        </c:ser>
        <c:dLbls>
          <c:showLegendKey val="0"/>
          <c:showVal val="1"/>
          <c:showCatName val="0"/>
          <c:showSerName val="0"/>
          <c:showPercent val="0"/>
          <c:showBubbleSize val="0"/>
        </c:dLbls>
        <c:gapWidth val="355"/>
        <c:overlap val="-70"/>
        <c:axId val="-1532080985"/>
        <c:axId val="955431611"/>
      </c:barChart>
      <c:catAx>
        <c:axId val="-153208098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955431611"/>
        <c:crosses val="autoZero"/>
        <c:auto val="1"/>
        <c:lblAlgn val="ctr"/>
        <c:lblOffset val="100"/>
        <c:noMultiLvlLbl val="0"/>
      </c:catAx>
      <c:valAx>
        <c:axId val="955431611"/>
        <c:scaling>
          <c:orientation val="minMax"/>
          <c:max val="1"/>
          <c:min val="0.9"/>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53208098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Nacional_Noviembre 2025.xlsx]Reporte general!TablaDinámica3</c:name>
    <c:fmtId val="0"/>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Nota Calidad por Semana</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general'!$D$33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general'!$C$34:$C$38</c:f>
              <c:strCache>
                <c:ptCount val="4"/>
                <c:pt idx="0">
                  <c:v>2,00</c:v>
                </c:pt>
                <c:pt idx="1">
                  <c:v>3,00</c:v>
                </c:pt>
                <c:pt idx="2">
                  <c:v>4,00</c:v>
                </c:pt>
                <c:pt idx="3">
                  <c:v>5,00</c:v>
                </c:pt>
              </c:strCache>
            </c:strRef>
          </c:cat>
          <c:val>
            <c:numRef>
              <c:f>'Reporte general'!$D$34:$D$38</c:f>
              <c:numCache>
                <c:formatCode>0.00%</c:formatCode>
                <c:ptCount val="4"/>
                <c:pt idx="0">
                  <c:v>0.99841772151898756</c:v>
                </c:pt>
                <c:pt idx="1">
                  <c:v>1.0000000000000002</c:v>
                </c:pt>
                <c:pt idx="2">
                  <c:v>0.99723451327433643</c:v>
                </c:pt>
                <c:pt idx="3">
                  <c:v>0.99772727272727291</c:v>
                </c:pt>
              </c:numCache>
            </c:numRef>
          </c:val>
          <c:extLst>
            <c:ext xmlns:c16="http://schemas.microsoft.com/office/drawing/2014/chart" uri="{C3380CC4-5D6E-409C-BE32-E72D297353CC}">
              <c16:uniqueId val="{00000000-611D-4B0C-B89B-B8B987A22F0E}"/>
            </c:ext>
          </c:extLst>
        </c:ser>
        <c:dLbls>
          <c:dLblPos val="outEnd"/>
          <c:showLegendKey val="0"/>
          <c:showVal val="1"/>
          <c:showCatName val="0"/>
          <c:showSerName val="0"/>
          <c:showPercent val="0"/>
          <c:showBubbleSize val="0"/>
        </c:dLbls>
        <c:gapWidth val="100"/>
        <c:overlap val="-24"/>
        <c:axId val="1635385744"/>
        <c:axId val="1635388144"/>
      </c:barChart>
      <c:catAx>
        <c:axId val="16353857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8144"/>
        <c:crosses val="autoZero"/>
        <c:auto val="1"/>
        <c:lblAlgn val="ctr"/>
        <c:lblOffset val="100"/>
        <c:noMultiLvlLbl val="0"/>
      </c:catAx>
      <c:valAx>
        <c:axId val="16353881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53857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Nacional_Noviembre 2025.xlsx]Reporte general!TablaDinámica4</c:name>
    <c:fmtId val="9"/>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419"/>
              <a:t>Nota promedio por tipo de error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'Reporte general'!$H$7</c:f>
              <c:strCache>
                <c:ptCount val="1"/>
                <c:pt idx="0">
                  <c:v>Promedio de No critico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general'!$H$8</c:f>
              <c:numCache>
                <c:formatCode>0.00%</c:formatCode>
                <c:ptCount val="1"/>
                <c:pt idx="0">
                  <c:v>0.9964646464646465</c:v>
                </c:pt>
              </c:numCache>
            </c:numRef>
          </c:val>
          <c:extLst>
            <c:ext xmlns:c16="http://schemas.microsoft.com/office/drawing/2014/chart" uri="{C3380CC4-5D6E-409C-BE32-E72D297353CC}">
              <c16:uniqueId val="{00000000-8CCD-4C08-97F8-BB75F9886EA3}"/>
            </c:ext>
          </c:extLst>
        </c:ser>
        <c:ser>
          <c:idx val="1"/>
          <c:order val="1"/>
          <c:tx>
            <c:strRef>
              <c:f>'Reporte general'!$I$7</c:f>
              <c:strCache>
                <c:ptCount val="1"/>
                <c:pt idx="0">
                  <c:v>Promedio de Error Crítico de Usuario Final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general'!$I$8</c:f>
              <c:numCache>
                <c:formatCode>0.00%</c:formatCode>
                <c:ptCount val="1"/>
                <c:pt idx="0">
                  <c:v>0.99797979797979797</c:v>
                </c:pt>
              </c:numCache>
            </c:numRef>
          </c:val>
          <c:extLst>
            <c:ext xmlns:c16="http://schemas.microsoft.com/office/drawing/2014/chart" uri="{C3380CC4-5D6E-409C-BE32-E72D297353CC}">
              <c16:uniqueId val="{00000001-8CCD-4C08-97F8-BB75F9886EA3}"/>
            </c:ext>
          </c:extLst>
        </c:ser>
        <c:ser>
          <c:idx val="2"/>
          <c:order val="2"/>
          <c:tx>
            <c:strRef>
              <c:f>'Reporte general'!$J$7</c:f>
              <c:strCache>
                <c:ptCount val="1"/>
                <c:pt idx="0">
                  <c:v>Promedio de Error Crítico de cumplimiento</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general'!$J$8</c:f>
              <c:numCache>
                <c:formatCode>0.00%</c:formatCode>
                <c:ptCount val="1"/>
                <c:pt idx="0">
                  <c:v>1</c:v>
                </c:pt>
              </c:numCache>
            </c:numRef>
          </c:val>
          <c:extLst>
            <c:ext xmlns:c16="http://schemas.microsoft.com/office/drawing/2014/chart" uri="{C3380CC4-5D6E-409C-BE32-E72D297353CC}">
              <c16:uniqueId val="{00000002-8CCD-4C08-97F8-BB75F9886EA3}"/>
            </c:ext>
          </c:extLst>
        </c:ser>
        <c:ser>
          <c:idx val="3"/>
          <c:order val="3"/>
          <c:tx>
            <c:strRef>
              <c:f>'Reporte general'!$K$7</c:f>
              <c:strCache>
                <c:ptCount val="1"/>
                <c:pt idx="0">
                  <c:v>Promedio de Error critico de negocio</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'Reporte general'!$H$8</c:f>
              <c:strCache>
                <c:ptCount val="1"/>
                <c:pt idx="0">
                  <c:v>Total</c:v>
                </c:pt>
              </c:strCache>
            </c:strRef>
          </c:cat>
          <c:val>
            <c:numRef>
              <c:f>'Reporte general'!$K$8</c:f>
              <c:numCache>
                <c:formatCode>0.00%</c:formatCode>
                <c:ptCount val="1"/>
                <c:pt idx="0">
                  <c:v>1.0000000000000002</c:v>
                </c:pt>
              </c:numCache>
            </c:numRef>
          </c:val>
          <c:extLst>
            <c:ext xmlns:c16="http://schemas.microsoft.com/office/drawing/2014/chart" uri="{C3380CC4-5D6E-409C-BE32-E72D297353CC}">
              <c16:uniqueId val="{00000003-8CCD-4C08-97F8-BB75F9886EA3}"/>
            </c:ext>
          </c:extLst>
        </c:ser>
        <c:dLbls>
          <c:dLblPos val="outEnd"/>
          <c:showLegendKey val="0"/>
          <c:showVal val="1"/>
          <c:showCatName val="0"/>
          <c:showSerName val="0"/>
          <c:showPercent val="0"/>
          <c:showBubbleSize val="0"/>
        </c:dLbls>
        <c:gapWidth val="100"/>
        <c:overlap val="-24"/>
        <c:axId val="24776960"/>
        <c:axId val="24778400"/>
      </c:barChart>
      <c:catAx>
        <c:axId val="2477696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8400"/>
        <c:crosses val="autoZero"/>
        <c:auto val="1"/>
        <c:lblAlgn val="ctr"/>
        <c:lblOffset val="100"/>
        <c:noMultiLvlLbl val="0"/>
      </c:catAx>
      <c:valAx>
        <c:axId val="24778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69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Nacional_Noviembre 2025.xlsx]Reporte general!TablaDinámica1</c:name>
    <c:fmtId val="1"/>
  </c:pivotSource>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 monitoreos por área</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4"/>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7"/>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8"/>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9"/>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0"/>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1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pieChart>
        <c:varyColors val="1"/>
        <c:ser>
          <c:idx val="0"/>
          <c:order val="0"/>
          <c:tx>
            <c:strRef>
              <c:f>'Reporte general'!$I$33</c:f>
              <c:strCache>
                <c:ptCount val="1"/>
                <c:pt idx="0">
                  <c:v>Cantidad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91-4063-A92A-D368E8FC013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general'!$I$34:$I$39</c:f>
              <c:numCache>
                <c:formatCode>General</c:formatCode>
                <c:ptCount val="5"/>
                <c:pt idx="0">
                  <c:v>178</c:v>
                </c:pt>
                <c:pt idx="1">
                  <c:v>150</c:v>
                </c:pt>
                <c:pt idx="2">
                  <c:v>48</c:v>
                </c:pt>
                <c:pt idx="3">
                  <c:v>59</c:v>
                </c:pt>
                <c:pt idx="4">
                  <c:v>10</c:v>
                </c:pt>
              </c:numCache>
            </c:numRef>
          </c:val>
          <c:extLst>
            <c:ext xmlns:c16="http://schemas.microsoft.com/office/drawing/2014/chart" uri="{C3380CC4-5D6E-409C-BE32-E72D297353CC}">
              <c16:uniqueId val="{00000000-FDBD-489C-A266-075A733A7EDA}"/>
            </c:ext>
          </c:extLst>
        </c:ser>
        <c:ser>
          <c:idx val="1"/>
          <c:order val="1"/>
          <c:tx>
            <c:strRef>
              <c:f>'Reporte general'!$J$33</c:f>
              <c:strCache>
                <c:ptCount val="1"/>
                <c:pt idx="0">
                  <c:v>% de monitoreos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96C-4F3C-82EF-DB33C7C5CCF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96C-4F3C-82EF-DB33C7C5CCF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A96C-4F3C-82EF-DB33C7C5CCF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A96C-4F3C-82EF-DB33C7C5CCF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A96C-4F3C-82EF-DB33C7C5CCF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general'!$H$34:$H$39</c:f>
              <c:strCache>
                <c:ptCount val="5"/>
                <c:pt idx="0">
                  <c:v>Convalidaciones</c:v>
                </c:pt>
                <c:pt idx="1">
                  <c:v>Inspección y Vigilancia</c:v>
                </c:pt>
                <c:pt idx="2">
                  <c:v>Consejo Nacional de Acreditación – CNA</c:v>
                </c:pt>
                <c:pt idx="3">
                  <c:v>Registro Calificado - Nuevo SACES</c:v>
                </c:pt>
                <c:pt idx="4">
                  <c:v>Convalidaciones (Apoyo Dirección de Calidad)</c:v>
                </c:pt>
              </c:strCache>
            </c:strRef>
          </c:cat>
          <c:val>
            <c:numRef>
              <c:f>'Reporte general'!$J$34:$J$39</c:f>
              <c:numCache>
                <c:formatCode>0.00%</c:formatCode>
                <c:ptCount val="5"/>
                <c:pt idx="0">
                  <c:v>0.4</c:v>
                </c:pt>
                <c:pt idx="1">
                  <c:v>0.33707865168539325</c:v>
                </c:pt>
                <c:pt idx="2">
                  <c:v>0.10786516853932585</c:v>
                </c:pt>
                <c:pt idx="3">
                  <c:v>0.13258426966292136</c:v>
                </c:pt>
                <c:pt idx="4">
                  <c:v>2.247191011235955E-2</c:v>
                </c:pt>
              </c:numCache>
            </c:numRef>
          </c:val>
          <c:extLst>
            <c:ext xmlns:c16="http://schemas.microsoft.com/office/drawing/2014/chart" uri="{C3380CC4-5D6E-409C-BE32-E72D297353CC}">
              <c16:uniqueId val="{00000002-D553-4504-A967-79E3B988D4A7}"/>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[Archivo Integral Ministerio de Educación Nacional_Noviembre 2025.xlsx]Reporte general!TablaDinámica2</c:name>
    <c:fmtId val="6"/>
  </c:pivotSource>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 Tipo de Monitoreo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pieChart>
        <c:varyColors val="1"/>
        <c:ser>
          <c:idx val="0"/>
          <c:order val="0"/>
          <c:tx>
            <c:strRef>
              <c:f>'Reporte general'!$D$60</c:f>
              <c:strCache>
                <c:ptCount val="1"/>
                <c:pt idx="0">
                  <c:v>Total</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74E8-4060-8273-279F78C5ECD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'Reporte general'!$C$61:$C$62</c:f>
              <c:strCache>
                <c:ptCount val="1"/>
                <c:pt idx="0">
                  <c:v>Remoto</c:v>
                </c:pt>
              </c:strCache>
            </c:strRef>
          </c:cat>
          <c:val>
            <c:numRef>
              <c:f>'Reporte general'!$D$61:$D$62</c:f>
              <c:numCache>
                <c:formatCode>0.00%</c:formatCode>
                <c:ptCount val="1"/>
                <c:pt idx="0">
                  <c:v>1</c:v>
                </c:pt>
              </c:numCache>
            </c:numRef>
          </c:val>
          <c:extLst>
            <c:ext xmlns:c16="http://schemas.microsoft.com/office/drawing/2014/chart" uri="{C3380CC4-5D6E-409C-BE32-E72D297353CC}">
              <c16:uniqueId val="{00000000-A592-496D-BCC1-FC576DA456C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w="190500" h="38100"/>
    </a:sp3d>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xdr:row>
      <xdr:rowOff>57150</xdr:rowOff>
    </xdr:from>
    <xdr:to>
      <xdr:col>5</xdr:col>
      <xdr:colOff>152399</xdr:colOff>
      <xdr:row>5</xdr:row>
      <xdr:rowOff>102989</xdr:rowOff>
    </xdr:to>
    <xdr:pic>
      <xdr:nvPicPr>
        <xdr:cNvPr id="3" name="Imagen 2">
          <a:extLst>
            <a:ext uri="{FF2B5EF4-FFF2-40B4-BE49-F238E27FC236}">
              <a16:creationId xmlns:a16="http://schemas.microsoft.com/office/drawing/2014/main" id="{8756BB60-B8F2-45AB-83A1-A511D54B3F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561975" y="381000"/>
          <a:ext cx="1123950"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416718</xdr:colOff>
      <xdr:row>1</xdr:row>
      <xdr:rowOff>71437</xdr:rowOff>
    </xdr:from>
    <xdr:to>
      <xdr:col>7</xdr:col>
      <xdr:colOff>233504</xdr:colOff>
      <xdr:row>6</xdr:row>
      <xdr:rowOff>9598</xdr:rowOff>
    </xdr:to>
    <xdr:pic>
      <xdr:nvPicPr>
        <xdr:cNvPr id="4" name="Imagen 3" descr="X:\01 CONTROL Y CALIDAD\1_MONITOREOS\LOGO HORIZONTAL.png">
          <a:extLst>
            <a:ext uri="{FF2B5EF4-FFF2-40B4-BE49-F238E27FC236}">
              <a16:creationId xmlns:a16="http://schemas.microsoft.com/office/drawing/2014/main" id="{27ADB0E4-F278-B5C1-E7BE-969911F10BBB}"/>
            </a:ext>
          </a:extLst>
        </xdr:cNvPr>
        <xdr:cNvPicPr>
          <a:picLocks noChangeAspect="1"/>
        </xdr:cNvPicPr>
      </xdr:nvPicPr>
      <xdr:blipFill>
        <a:blip xmlns:r="http://schemas.openxmlformats.org/officeDocument/2006/relationships" r:embed="rId1"/>
        <a:stretch>
          <a:fillRect/>
        </a:stretch>
      </xdr:blipFill>
      <xdr:spPr>
        <a:xfrm>
          <a:off x="1690687" y="309562"/>
          <a:ext cx="1019317" cy="533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623888</xdr:colOff>
      <xdr:row>7</xdr:row>
      <xdr:rowOff>3968</xdr:rowOff>
    </xdr:from>
    <xdr:to>
      <xdr:col>4</xdr:col>
      <xdr:colOff>1468439</xdr:colOff>
      <xdr:row>23</xdr:row>
      <xdr:rowOff>150812</xdr:rowOff>
    </xdr:to>
    <xdr:graphicFrame macro="">
      <xdr:nvGraphicFramePr>
        <xdr:cNvPr id="2" name="Gráfico 1">
          <a:extLst>
            <a:ext uri="{FF2B5EF4-FFF2-40B4-BE49-F238E27FC236}">
              <a16:creationId xmlns:a16="http://schemas.microsoft.com/office/drawing/2014/main" id="{F8364A4E-213F-B52B-C07F-99B9431E46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872331</xdr:colOff>
      <xdr:row>40</xdr:row>
      <xdr:rowOff>178593</xdr:rowOff>
    </xdr:from>
    <xdr:to>
      <xdr:col>4</xdr:col>
      <xdr:colOff>740293</xdr:colOff>
      <xdr:row>56</xdr:row>
      <xdr:rowOff>62362</xdr:rowOff>
    </xdr:to>
    <xdr:graphicFrame macro="">
      <xdr:nvGraphicFramePr>
        <xdr:cNvPr id="3" name="Gráfico 2">
          <a:extLst>
            <a:ext uri="{FF2B5EF4-FFF2-40B4-BE49-F238E27FC236}">
              <a16:creationId xmlns:a16="http://schemas.microsoft.com/office/drawing/2014/main" id="{BA86AC54-8A8F-10B0-664D-8BF91C2D3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3174</xdr:colOff>
      <xdr:row>8</xdr:row>
      <xdr:rowOff>161924</xdr:rowOff>
    </xdr:from>
    <xdr:to>
      <xdr:col>11</xdr:col>
      <xdr:colOff>101600</xdr:colOff>
      <xdr:row>26</xdr:row>
      <xdr:rowOff>76199</xdr:rowOff>
    </xdr:to>
    <xdr:graphicFrame macro="">
      <xdr:nvGraphicFramePr>
        <xdr:cNvPr id="4" name="Gráfico 3">
          <a:extLst>
            <a:ext uri="{FF2B5EF4-FFF2-40B4-BE49-F238E27FC236}">
              <a16:creationId xmlns:a16="http://schemas.microsoft.com/office/drawing/2014/main" id="{F13822C6-D55B-B8D2-8D05-CE779C4F0D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873124</xdr:colOff>
      <xdr:row>39</xdr:row>
      <xdr:rowOff>119856</xdr:rowOff>
    </xdr:from>
    <xdr:to>
      <xdr:col>10</xdr:col>
      <xdr:colOff>952499</xdr:colOff>
      <xdr:row>55</xdr:row>
      <xdr:rowOff>170312</xdr:rowOff>
    </xdr:to>
    <xdr:graphicFrame macro="">
      <xdr:nvGraphicFramePr>
        <xdr:cNvPr id="6" name="Gráfico 5">
          <a:extLst>
            <a:ext uri="{FF2B5EF4-FFF2-40B4-BE49-F238E27FC236}">
              <a16:creationId xmlns:a16="http://schemas.microsoft.com/office/drawing/2014/main" id="{A22148A3-C7EA-F6CD-F4E0-F0AAE639E0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773905</xdr:colOff>
      <xdr:row>65</xdr:row>
      <xdr:rowOff>1587</xdr:rowOff>
    </xdr:from>
    <xdr:to>
      <xdr:col>4</xdr:col>
      <xdr:colOff>464343</xdr:colOff>
      <xdr:row>79</xdr:row>
      <xdr:rowOff>93662</xdr:rowOff>
    </xdr:to>
    <xdr:graphicFrame macro="">
      <xdr:nvGraphicFramePr>
        <xdr:cNvPr id="8" name="Gráfico 7">
          <a:extLst>
            <a:ext uri="{FF2B5EF4-FFF2-40B4-BE49-F238E27FC236}">
              <a16:creationId xmlns:a16="http://schemas.microsoft.com/office/drawing/2014/main" id="{10B6F430-DA63-FB59-F8F5-9A4CF6265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Sebastian Roncancio Avendaño" refreshedDate="45989.514260069445" createdVersion="8" refreshedVersion="8" minRefreshableVersion="3" recordCount="551" xr:uid="{00000000-000A-0000-FFFF-FFFF01000000}">
  <cacheSource type="worksheet">
    <worksheetSource name="Tabla1"/>
  </cacheSource>
  <cacheFields count="48">
    <cacheField name="Campaña" numFmtId="0">
      <sharedItems/>
    </cacheField>
    <cacheField name="Número monitoreo" numFmtId="0">
      <sharedItems containsSemiMixedTypes="0" containsString="0" containsNumber="1" containsInteger="1" minValue="0" maxValue="48" count="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0"/>
      </sharedItems>
    </cacheField>
    <cacheField name="Llave" numFmtId="0">
      <sharedItems/>
    </cacheField>
    <cacheField name="Tipo de Monitoreo" numFmtId="0">
      <sharedItems containsBlank="1" count="3">
        <s v="Remoto"/>
        <m/>
        <s v="En vivo" u="1"/>
      </sharedItems>
    </cacheField>
    <cacheField name="Area" numFmtId="49">
      <sharedItems containsBlank="1" count="9">
        <s v="Consejo Nacional de Acreditación – CNA"/>
        <s v="Inspección y Vigilancia"/>
        <s v="Convalidaciones"/>
        <s v="Registro Calificado - Nuevo SACES"/>
        <s v="Convalidaciones (Apoyo Dirección de Calidad)"/>
        <m/>
        <s v="Dirección de Calidad y Consejo Nacional de Acreditación – CNA" u="1"/>
        <s v="Nuevo SACES" u="1"/>
        <s v="Registro Calificado" u="1"/>
      </sharedItems>
    </cacheField>
    <cacheField name="Tipo de comunicación" numFmtId="49">
      <sharedItems containsBlank="1"/>
    </cacheField>
    <cacheField name="Mes" numFmtId="0">
      <sharedItems/>
    </cacheField>
    <cacheField name="Fecha monitoreo" numFmtId="14">
      <sharedItems containsNonDate="0" containsDate="1" containsString="0" containsBlank="1" minDate="2025-08-01T00:00:00" maxDate="2025-11-29T00:00:00" count="65">
        <d v="2025-11-05T00:00:00"/>
        <d v="2025-11-06T00:00:00"/>
        <d v="2025-11-07T00:00:00"/>
        <d v="2025-11-10T00:00:00"/>
        <d v="2025-11-11T00:00:00"/>
        <d v="2025-11-12T00:00:00"/>
        <d v="2025-11-13T00:00:00"/>
        <d v="2025-11-14T00:00:00"/>
        <d v="2025-11-18T00:00:00"/>
        <d v="2025-11-19T00:00:00"/>
        <d v="2025-11-20T00:00:00"/>
        <d v="2025-11-21T00:00:00"/>
        <d v="2025-11-24T00:00:00"/>
        <d v="2025-11-25T00:00:00"/>
        <d v="2025-11-26T00:00:00"/>
        <d v="2025-11-27T00:00:00"/>
        <d v="2025-11-28T00:00:00"/>
        <m/>
        <d v="2025-10-02T00:00:00" u="1"/>
        <d v="2025-10-03T00:00:00" u="1"/>
        <d v="2025-10-06T00:00:00" u="1"/>
        <d v="2025-10-07T00:00:00" u="1"/>
        <d v="2025-10-08T00:00:00" u="1"/>
        <d v="2025-10-09T00:00:00" u="1"/>
        <d v="2025-10-10T00:00:00" u="1"/>
        <d v="2025-10-14T00:00:00" u="1"/>
        <d v="2025-10-15T00:00:00" u="1"/>
        <d v="2025-10-16T00:00:00" u="1"/>
        <d v="2025-10-17T00:00:00" u="1"/>
        <d v="2025-10-20T00:00:00" u="1"/>
        <d v="2025-10-21T00:00:00" u="1"/>
        <d v="2025-10-22T00:00:00" u="1"/>
        <d v="2025-10-23T00:00:00" u="1"/>
        <d v="2025-10-24T00:00:00" u="1"/>
        <d v="2025-10-27T00:00:00" u="1"/>
        <d v="2025-10-28T00:00:00" u="1"/>
        <d v="2025-10-29T00:00:00" u="1"/>
        <d v="2025-10-30T00:00:00" u="1"/>
        <d v="2025-10-31T00:00:00" u="1"/>
        <d v="2025-09-02T00:00:00" u="1"/>
        <d v="2025-09-03T00:00:00" u="1"/>
        <d v="2025-09-04T00:00:00" u="1"/>
        <d v="2025-09-05T00:00:00" u="1"/>
        <d v="2025-09-08T00:00:00" u="1"/>
        <d v="2025-09-09T00:00:00" u="1"/>
        <d v="2025-09-10T00:00:00" u="1"/>
        <d v="2025-09-11T00:00:00" u="1"/>
        <d v="2025-09-12T00:00:00" u="1"/>
        <d v="2025-09-15T00:00:00" u="1"/>
        <d v="2025-09-16T00:00:00" u="1"/>
        <d v="2025-09-17T00:00:00" u="1"/>
        <d v="2025-09-18T00:00:00" u="1"/>
        <d v="2025-09-19T00:00:00" u="1"/>
        <d v="2025-09-22T00:00:00" u="1"/>
        <d v="2025-09-23T00:00:00" u="1"/>
        <d v="2025-09-24T00:00:00" u="1"/>
        <d v="2025-09-25T00:00:00" u="1"/>
        <d v="2025-09-26T00:00:00" u="1"/>
        <d v="2025-09-29T00:00:00" u="1"/>
        <d v="2025-09-30T00:00:00" u="1"/>
        <d v="2025-08-22T00:00:00" u="1"/>
        <d v="2025-08-15T00:00:00" u="1"/>
        <d v="2025-08-01T00:00:00" u="1"/>
        <d v="2025-08-10T00:00:00" u="1"/>
        <d v="2025-08-29T00:00:00" u="1"/>
      </sharedItems>
      <fieldGroup par="47"/>
    </cacheField>
    <cacheField name="Fecha correo" numFmtId="14">
      <sharedItems containsNonDate="0" containsDate="1" containsString="0" containsBlank="1" minDate="2025-11-04T00:00:00" maxDate="2025-11-28T00:00:00"/>
    </cacheField>
    <cacheField name="Nombre y apellido agente" numFmtId="0">
      <sharedItems containsBlank="1" count="23">
        <s v="Ana Graciela Barbosa Villalobos"/>
        <s v="Cesar Rodrigo García"/>
        <s v="Cristian Enrique Benitez Rodriguez"/>
        <s v="Erika Natalia Ramírez Herrera"/>
        <s v="Henry Eduardo Padilla Castilla"/>
        <s v="Ingrid Carolina Monsalve Quintero"/>
        <s v="Jesus David Hernandez Fernandez de Castro"/>
        <s v="Juan Jose Santoya Medina"/>
        <s v="Juan Sebastián Suárez Morales"/>
        <s v="Laura Juliana Rueda Durán"/>
        <s v="Laura Ximena Sandoval Galindo"/>
        <s v="Maira Alejandra Rodriguez Losada"/>
        <s v="María José Uribe Medina"/>
        <s v="Natalia Cañón Betancourt"/>
        <s v="Quira Alejandra Herrera Camelo"/>
        <s v="Valentina Castillo Rondón"/>
        <s v="Yenny Maribel Duran Ovejero"/>
        <s v="Andrés Felipe Silva Martínez"/>
        <s v="Daniela Murillo Solano"/>
        <m/>
        <s v="Mario Fernando Lozada Vargas" u="1"/>
        <s v="marlon" u="1"/>
        <s v="natalia" u="1"/>
      </sharedItems>
    </cacheField>
    <cacheField name="Cedula agente" numFmtId="0">
      <sharedItems containsMixedTypes="1" containsNumber="1" containsInteger="1" minValue="52805909" maxValue="1234194276"/>
    </cacheField>
    <cacheField name="Numero de radicado" numFmtId="0">
      <sharedItems containsBlank="1"/>
    </cacheField>
    <cacheField name="Seguridad y redacción en la comunicación" numFmtId="0">
      <sharedItems containsBlank="1"/>
    </cacheField>
    <cacheField name="Estructura y presentación de la comunicación" numFmtId="0">
      <sharedItems containsBlank="1"/>
    </cacheField>
    <cacheField name="Lenguaje Claro y Positivo" numFmtId="0">
      <sharedItems containsBlank="1"/>
    </cacheField>
    <cacheField name="Personalización" numFmtId="0">
      <sharedItems containsBlank="1"/>
    </cacheField>
    <cacheField name="No critico" numFmtId="166">
      <sharedItems containsSemiMixedTypes="0" containsString="0" containsNumber="1" minValue="0.5" maxValue="1"/>
    </cacheField>
    <cacheField name="Identifica motivo y/o consulta del usuario" numFmtId="0">
      <sharedItems containsBlank="1"/>
    </cacheField>
    <cacheField name="Brinda la información correcta y completa" numFmtId="0">
      <sharedItems containsBlank="1"/>
    </cacheField>
    <cacheField name="Tiene buen trato y es amable" numFmtId="0">
      <sharedItems containsBlank="1"/>
    </cacheField>
    <cacheField name="Digitación, ortografía y redacción" numFmtId="0">
      <sharedItems containsBlank="1"/>
    </cacheField>
    <cacheField name="Error Crítico de Usuario Final" numFmtId="9">
      <sharedItems containsSemiMixedTypes="0" containsString="0" containsNumber="1" minValue="0.75" maxValue="1"/>
    </cacheField>
    <cacheField name="Gestión de la comunicación" numFmtId="0">
      <sharedItems containsBlank="1"/>
    </cacheField>
    <cacheField name="Tipifica correctamente la gestión" numFmtId="0">
      <sharedItems containsBlank="1"/>
    </cacheField>
    <cacheField name="Adjunta los documentos en los sistemas" numFmtId="0">
      <sharedItems containsBlank="1"/>
    </cacheField>
    <cacheField name="Direcciona adecuadamente al ciudadano, funcionario y/o entidad" numFmtId="0">
      <sharedItems containsBlank="1"/>
    </cacheField>
    <cacheField name="Escala correctamente la comunicación" numFmtId="0">
      <sharedItems containsBlank="1"/>
    </cacheField>
    <cacheField name="Realiza las correcciones solicitadas por el revisor" numFmtId="0">
      <sharedItems containsBlank="1"/>
    </cacheField>
    <cacheField name="Error critico de negocio" numFmtId="9">
      <sharedItems containsSemiMixedTypes="0" containsString="0" containsNumber="1" minValue="1.000000000000002" maxValue="1.000000000000002"/>
    </cacheField>
    <cacheField name="Brinda Información Confidencial " numFmtId="0">
      <sharedItems containsBlank="1"/>
    </cacheField>
    <cacheField name="Uso adecuado de las herramientas de trabajo " numFmtId="0">
      <sharedItems containsBlank="1"/>
    </cacheField>
    <cacheField name="Error Crítico de cumplimiento" numFmtId="9">
      <sharedItems containsSemiMixedTypes="0" containsString="0" containsNumber="1" containsInteger="1" minValue="1" maxValue="1"/>
    </cacheField>
    <cacheField name="Calificación total" numFmtId="9">
      <sharedItems containsSemiMixedTypes="0" containsString="0" containsNumber="1" minValue="0.8333333333333337" maxValue="1.0000000000000004" count="6">
        <n v="1.0000000000000004"/>
        <n v="0.93750000000000044"/>
        <n v="0.87500000000000044"/>
        <n v="0.8958333333333337" u="1"/>
        <n v="0.8333333333333337" u="1"/>
        <n v="0.9583333333333337" u="1"/>
      </sharedItems>
    </cacheField>
    <cacheField name="ERRORES CRITICOS" numFmtId="0">
      <sharedItems containsSemiMixedTypes="0" containsString="0" containsNumber="1" containsInteger="1" minValue="0" maxValue="1"/>
    </cacheField>
    <cacheField name="ERRORES NO CRITICOS" numFmtId="0">
      <sharedItems containsSemiMixedTypes="0" containsString="0" containsNumber="1" containsInteger="1" minValue="0" maxValue="2"/>
    </cacheField>
    <cacheField name="Total Error Crítico de Usuario Final" numFmtId="0">
      <sharedItems containsMixedTypes="1" containsNumber="1" containsInteger="1" minValue="0" maxValue="1"/>
    </cacheField>
    <cacheField name="Total Error Crítico de Negocio" numFmtId="0">
      <sharedItems containsMixedTypes="1" containsNumber="1" containsInteger="1" minValue="0" maxValue="0"/>
    </cacheField>
    <cacheField name="Total Error Crítico de cumplimiento" numFmtId="0">
      <sharedItems containsMixedTypes="1" containsNumber="1" containsInteger="1" minValue="0" maxValue="0"/>
    </cacheField>
    <cacheField name="OBSERVACIÓN" numFmtId="0">
      <sharedItems containsBlank="1" longText="1"/>
    </cacheField>
    <cacheField name="Descripción hallazgo" numFmtId="0">
      <sharedItems containsBlank="1" longText="1"/>
    </cacheField>
    <cacheField name="Analisis de causas" numFmtId="0">
      <sharedItems containsBlank="1"/>
    </cacheField>
    <cacheField name="Compromiso Agente" numFmtId="0">
      <sharedItems containsBlank="1" longText="1"/>
    </cacheField>
    <cacheField name="Coordinador" numFmtId="0">
      <sharedItems/>
    </cacheField>
    <cacheField name="Retroalimentación Preventiva" numFmtId="0">
      <sharedItems containsBlank="1" count="3">
        <s v="No"/>
        <m/>
        <s v="Si" u="1"/>
      </sharedItems>
    </cacheField>
    <cacheField name="Calificador" numFmtId="0">
      <sharedItems/>
    </cacheField>
    <cacheField name="Meta" numFmtId="9">
      <sharedItems containsString="0" containsBlank="1" containsNumber="1" minValue="0.95" maxValue="0.95"/>
    </cacheField>
    <cacheField name="Semana" numFmtId="1">
      <sharedItems containsSemiMixedTypes="0" containsString="0" containsNumber="1" containsInteger="1" minValue="0" maxValue="5" count="6">
        <n v="2"/>
        <n v="3"/>
        <n v="4"/>
        <n v="5"/>
        <n v="0"/>
        <n v="1" u="1"/>
      </sharedItems>
    </cacheField>
    <cacheField name="Meses (Fecha monitoreo)" numFmtId="0" databaseField="0">
      <fieldGroup base="7">
        <rangePr groupBy="months" startDate="2025-11-05T00:00:00" endDate="2025-11-29T00:00:00"/>
        <groupItems count="14">
          <s v="&lt;5/11/2025"/>
          <s v="ene"/>
          <s v="feb"/>
          <s v="mar"/>
          <s v="abr"/>
          <s v="may"/>
          <s v="jun"/>
          <s v="jul"/>
          <s v="ago"/>
          <s v="sep"/>
          <s v="oct"/>
          <s v="nov"/>
          <s v="dic"/>
          <s v="&gt;29/11/202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1">
  <r>
    <s v="Ministerio de Educación Nacional"/>
    <x v="0"/>
    <s v="Ana Graciela Barbosa Villalobos1"/>
    <x v="0"/>
    <x v="0"/>
    <s v="PQRS"/>
    <s v="Noviembre"/>
    <x v="0"/>
    <d v="2025-11-04T00:00:00"/>
    <x v="0"/>
    <n v="1026264261"/>
    <s v="CS-25-191008"/>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Ana Graciela Barbosa Villalobos2"/>
    <x v="0"/>
    <x v="0"/>
    <s v="PQRS"/>
    <s v="Noviembre"/>
    <x v="0"/>
    <d v="2025-11-04T00:00:00"/>
    <x v="0"/>
    <n v="1026264261"/>
    <s v="2025-ER-0482232"/>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Cesar Rodrigo García1"/>
    <x v="0"/>
    <x v="1"/>
    <s v="PQRS"/>
    <s v="Noviembre"/>
    <x v="0"/>
    <d v="2025-11-04T00:00:00"/>
    <x v="1"/>
    <n v="1069257937"/>
    <s v="2025-ER-0499306 "/>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Cristian Enrique Benitez Rodriguez1"/>
    <x v="0"/>
    <x v="1"/>
    <s v="PQRS"/>
    <s v="Noviembre"/>
    <x v="0"/>
    <d v="2025-11-04T00:00:00"/>
    <x v="2"/>
    <n v="1026574814"/>
    <s v="2025-ER-0491685"/>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Erika Natalia Ramírez Herrera1"/>
    <x v="0"/>
    <x v="2"/>
    <s v="PQRS"/>
    <s v="Noviembre"/>
    <x v="0"/>
    <d v="2025-11-04T00:00:00"/>
    <x v="3"/>
    <n v="1032367072"/>
    <s v="2025-ER-0473234"/>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Erika Natalia Ramírez Herrera2"/>
    <x v="0"/>
    <x v="2"/>
    <s v="PQRS"/>
    <s v="Noviembre"/>
    <x v="0"/>
    <d v="2025-11-04T00:00:00"/>
    <x v="3"/>
    <n v="1032367072"/>
    <s v="2025-ER-0442273"/>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Henry Eduardo Padilla Castilla1"/>
    <x v="0"/>
    <x v="1"/>
    <s v="PQRS"/>
    <s v="Noviembre"/>
    <x v="0"/>
    <d v="2025-11-04T00:00:00"/>
    <x v="4"/>
    <n v="1063968280"/>
    <s v="2025-ER-0488901"/>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Henry Eduardo Padilla Castilla2"/>
    <x v="0"/>
    <x v="1"/>
    <s v="PQRS"/>
    <s v="Noviembre"/>
    <x v="0"/>
    <d v="2025-11-04T00:00:00"/>
    <x v="4"/>
    <n v="1063968280"/>
    <s v="CS-25-191295"/>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Ingrid Carolina Monsalve Quintero1"/>
    <x v="0"/>
    <x v="2"/>
    <s v="PQRS"/>
    <s v="Noviembre"/>
    <x v="0"/>
    <d v="2025-11-04T00:00:00"/>
    <x v="5"/>
    <n v="52805909"/>
    <s v="2025-ER-0494990"/>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Ingrid Carolina Monsalve Quintero2"/>
    <x v="0"/>
    <x v="2"/>
    <s v="PQRS"/>
    <s v="Noviembre"/>
    <x v="0"/>
    <d v="2025-11-04T00:00:00"/>
    <x v="5"/>
    <n v="52805909"/>
    <s v="2025-ER-0501776"/>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Jesus David Hernandez Fernandez de Castro1"/>
    <x v="0"/>
    <x v="3"/>
    <s v="Correo"/>
    <s v="Noviembre"/>
    <x v="0"/>
    <d v="2025-11-04T00:00:00"/>
    <x v="6"/>
    <n v="1083038013"/>
    <s v="SOL978672"/>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Juan Jose Santoya Medina1"/>
    <x v="0"/>
    <x v="1"/>
    <s v="PQRS"/>
    <s v="Noviembre"/>
    <x v="0"/>
    <d v="2025-11-04T00:00:00"/>
    <x v="7"/>
    <n v="1053345183"/>
    <s v="2025-ER-0172076"/>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Juan Jose Santoya Medina2"/>
    <x v="0"/>
    <x v="1"/>
    <s v="PQRS"/>
    <s v="Noviembre"/>
    <x v="0"/>
    <d v="2025-11-04T00:00:00"/>
    <x v="7"/>
    <n v="1053345183"/>
    <s v="2025-ER-0465616"/>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Juan Sebastián Suárez Morales1"/>
    <x v="0"/>
    <x v="1"/>
    <s v="PQRS"/>
    <s v="Noviembre"/>
    <x v="0"/>
    <d v="2025-11-04T00:00:00"/>
    <x v="8"/>
    <n v="1030541070"/>
    <s v="2025-ER-0247902"/>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Laura Juliana Rueda Durán1"/>
    <x v="0"/>
    <x v="1"/>
    <s v="PQRS"/>
    <s v="Noviembre"/>
    <x v="0"/>
    <d v="2025-11-04T00:00:00"/>
    <x v="9"/>
    <n v="1026291591"/>
    <s v="2025-ER-0303136"/>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Laura Ximena Sandoval Galindo1"/>
    <x v="0"/>
    <x v="3"/>
    <s v="PQRS"/>
    <s v="Noviembre"/>
    <x v="0"/>
    <d v="2025-11-04T00:00:00"/>
    <x v="10"/>
    <n v="1030678660"/>
    <s v="2025-ER-0479292"/>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Maira Alejandra Rodriguez Losada1"/>
    <x v="0"/>
    <x v="2"/>
    <s v="PQRS"/>
    <s v="Noviembre"/>
    <x v="0"/>
    <d v="2025-11-04T00:00:00"/>
    <x v="11"/>
    <n v="1075224344"/>
    <s v="2025-ER-0487881"/>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Maira Alejandra Rodriguez Losada2"/>
    <x v="0"/>
    <x v="2"/>
    <s v="PQRS"/>
    <s v="Noviembre"/>
    <x v="0"/>
    <d v="2025-11-04T00:00:00"/>
    <x v="11"/>
    <n v="1075224344"/>
    <s v="2025-ER-0496652"/>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María José Uribe Medina1"/>
    <x v="0"/>
    <x v="2"/>
    <s v="PQRS"/>
    <s v="Noviembre"/>
    <x v="0"/>
    <d v="2025-11-04T00:00:00"/>
    <x v="12"/>
    <n v="1121919150"/>
    <s v="2025-ER-0494184"/>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María José Uribe Medina2"/>
    <x v="0"/>
    <x v="2"/>
    <s v="PQRS"/>
    <s v="Noviembre"/>
    <x v="0"/>
    <d v="2025-11-04T00:00:00"/>
    <x v="12"/>
    <n v="1121919150"/>
    <s v="2025-ER-0500832"/>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Natalia Cañón Betancourt1"/>
    <x v="0"/>
    <x v="2"/>
    <s v="PQRS"/>
    <s v="Noviembre"/>
    <x v="0"/>
    <d v="2025-11-04T00:00:00"/>
    <x v="13"/>
    <n v="1000383417"/>
    <s v="2025-ER-0491453"/>
    <s v="SI"/>
    <s v="SI"/>
    <s v="SI"/>
    <s v="SI"/>
    <n v="1"/>
    <s v="SI"/>
    <s v="SI"/>
    <s v="SI"/>
    <s v="NO"/>
    <n v="0.75"/>
    <s v="SI"/>
    <s v="SI"/>
    <s v="SI"/>
    <s v="SI"/>
    <s v="SI"/>
    <s v="SI"/>
    <n v="1.000000000000002"/>
    <s v="SI"/>
    <s v="SI"/>
    <n v="1"/>
    <x v="1"/>
    <n v="1"/>
    <n v="0"/>
    <n v="1"/>
    <n v="0"/>
    <n v="0"/>
    <s v="Monitoreo de Calidad (05/11/2025 – Gestión del 04/11/2025)_x000a_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 Oportunidades de mejora: Redacción más fluida y coherente: La respuesta presenta dificultades por la ausencia de conectores y frases que permitan un hilo conductor claro, afectando la comprensión y la percepción de servicio.  Mayor empatía en el mensaje: Es importante proyectar un tono más cercano y orientado al ciudadano, transmitiendo actitud de servicio y generando confianza. Claridad y profesionalismo: Ajustar la estructura para que la comunicación sea más clara, ordenada y fácil de leer._x000a_Ejemplo observado:_x000a_(...) lo anterior, esta decisión se ha tomado con el objetivo (...)_x000a_Recomendaciones: Incorporar conectores y frases de transición para dar continuidad al mensaje. Analizar cómo proyectar la respuesta para brindar claridad y actitud de servicio. Generar un vínculo de empatía con el ciudadano, cuidando el tono y las expresiones utilizadas. "/>
    <s v="La respuesta presenta dificultades por la ausencia de conectores y frases que permitan un hilo conductor claro, afectando la comprensión y la percepción de servicio.  Mayor empatía en el mensaje: Es importante proyectar un tono más cercano y orientado al ciudadano, transmitiendo actitud de servicio y generando confianza. Claridad y profesionalismo: Ajustar la estructura para que la comunicación sea más clara, ordenada y fácil de leer."/>
    <s v="No valida la calidad del comunicado emitido antes de su revisión y aprobación"/>
    <s v="Me comprometo a corregir los errores señalados y a mejorar la redacción, el uso de conectores y la estructura de las comunicaciones."/>
    <s v="Luisa Fernanda Benavides Castrillon"/>
    <x v="0"/>
    <s v="John Sebastian Roncancio Avendaño"/>
    <n v="0.95"/>
    <x v="0"/>
  </r>
  <r>
    <s v="Ministerio de Educación Nacional"/>
    <x v="1"/>
    <s v="Natalia Cañón Betancourt2"/>
    <x v="0"/>
    <x v="2"/>
    <s v="PQRS"/>
    <s v="Noviembre"/>
    <x v="0"/>
    <d v="2025-11-04T00:00:00"/>
    <x v="13"/>
    <n v="1000383417"/>
    <s v="2025-ER-0499913"/>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Quira Alejandra Herrera Camelo1"/>
    <x v="0"/>
    <x v="3"/>
    <s v="PQRS"/>
    <s v="Noviembre"/>
    <x v="0"/>
    <d v="2025-11-04T00:00:00"/>
    <x v="14"/>
    <n v="1010214168"/>
    <s v="2025-ER-0489572"/>
    <s v="SI"/>
    <s v="NO"/>
    <s v="SI"/>
    <s v="SI"/>
    <n v="0.75"/>
    <s v="SI"/>
    <s v="SI"/>
    <s v="SI"/>
    <s v="SI"/>
    <n v="1"/>
    <s v="SI"/>
    <s v="SI"/>
    <s v="SI"/>
    <s v="SI"/>
    <s v="SI"/>
    <s v="SI"/>
    <n v="1.000000000000002"/>
    <s v="SI"/>
    <s v="SI"/>
    <n v="1"/>
    <x v="1"/>
    <n v="0"/>
    <n v="1"/>
    <n v="0"/>
    <n v="0"/>
    <n v="0"/>
    <s v="Monitoreo de Calidad – 05/10/2025 (Gestión del 04/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Presentación y estructura: La respuesta presenta dificultades en la justificación del texto, lo que afecta la imagen del documento y la percepción de profesionalismo, Claridad visual: Ajustar la forma del comunicado para que cumpla con los lineamientos de presentación establecidos por el área, proyectando orden y calidad y el Impacto en la experiencia del ciudadano: Una presentación adecuada refuerza la confianza y la empatía en la comunicación._x000a_Recomendaciones: validar siempre la calidad visual y la presentación del comunicado antes de enviarlo, hay que asegurar que el texto esté justificado y cumpla con los lineamientos de forma, proyectando una imagen profesional tanto del documento como de la entidad, mantener la coherencia entre contenido y presentación para fortalecer la percepción de servicio."/>
    <s v=" La respuesta presenta dificultades en la justificación del texto, lo que afecta la imagen del documento y la percepción de profesionalismo, Claridad visual: Ajustar la forma del comunicado para que cumpla con los lineamientos de presentación establecidos por el área, proyectando orden y calidad y el Impacto en la experiencia del ciudadano: Una presentación adecuada refuerza la confianza y la empatía en la comunicación."/>
    <s v="No valida la calidad del comunicado emitido antes de su revisión y aprobación"/>
    <s v="Me comprometo a revisar con mayor atención el formato y la justificación de los textos antes de enviar cualquier respuesta, verificando que cumpla con los lineamientos establecidos. De ahora en adelante, validaré cada documento antes de su envío para evitar errores de presentación o formato similares. "/>
    <s v="Luisa Fernanda Benavides Castrillon"/>
    <x v="0"/>
    <s v="John Sebastian Roncancio Avendaño"/>
    <n v="0.95"/>
    <x v="0"/>
  </r>
  <r>
    <s v="Ministerio de Educación Nacional"/>
    <x v="0"/>
    <s v="Valentina Castillo Rondón1"/>
    <x v="0"/>
    <x v="1"/>
    <s v="PQRS"/>
    <s v="Noviembre"/>
    <x v="0"/>
    <d v="2025-11-04T00:00:00"/>
    <x v="15"/>
    <n v="1121950095"/>
    <s v="2025-ER-0465507"/>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Yenny Maribel Duran Ovejero1"/>
    <x v="0"/>
    <x v="1"/>
    <s v="PQRS"/>
    <s v="Noviembre"/>
    <x v="0"/>
    <d v="2025-11-04T00:00:00"/>
    <x v="16"/>
    <n v="52962387"/>
    <s v="2025-ER-0490470"/>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Yenny Maribel Duran Ovejero2"/>
    <x v="0"/>
    <x v="1"/>
    <s v="PQRS"/>
    <s v="Noviembre"/>
    <x v="0"/>
    <d v="2025-11-04T00:00:00"/>
    <x v="16"/>
    <n v="52962387"/>
    <s v="2025-ER-0495019 "/>
    <s v="SI"/>
    <s v="SI"/>
    <s v="SI"/>
    <s v="SI"/>
    <n v="1"/>
    <s v="SI"/>
    <s v="SI"/>
    <s v="SI"/>
    <s v="SI"/>
    <n v="1"/>
    <s v="SI"/>
    <s v="SI"/>
    <s v="SI"/>
    <s v="SI"/>
    <s v="SI"/>
    <s v="SI"/>
    <n v="1.000000000000002"/>
    <s v="SI"/>
    <s v="SI"/>
    <n v="1"/>
    <x v="0"/>
    <n v="0"/>
    <n v="0"/>
    <n v="0"/>
    <n v="0"/>
    <n v="0"/>
    <s v="Monitoreo de Calidad – 05/10/2025 (Gestión del 0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Ana Graciela Barbosa Villalobos3"/>
    <x v="0"/>
    <x v="0"/>
    <s v="PQRS"/>
    <s v="Noviembre"/>
    <x v="1"/>
    <d v="2025-11-05T00:00:00"/>
    <x v="0"/>
    <n v="1026264261"/>
    <s v="CS-25-191447"/>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Ana Graciela Barbosa Villalobos4"/>
    <x v="0"/>
    <x v="0"/>
    <s v="PQRS"/>
    <s v="Noviembre"/>
    <x v="1"/>
    <d v="2025-11-05T00:00:00"/>
    <x v="0"/>
    <n v="1026264261"/>
    <s v="CS-25-191567"/>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Ana Graciela Barbosa Villalobos5"/>
    <x v="0"/>
    <x v="0"/>
    <s v="PQRS"/>
    <s v="Noviembre"/>
    <x v="1"/>
    <d v="2025-11-05T00:00:00"/>
    <x v="0"/>
    <n v="1026264261"/>
    <s v="CS-25-191669"/>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Andrés Felipe Silva Martínez1"/>
    <x v="0"/>
    <x v="3"/>
    <s v="PQRS"/>
    <s v="Noviembre"/>
    <x v="1"/>
    <d v="2025-11-05T00:00:00"/>
    <x v="17"/>
    <n v="1120362660"/>
    <s v="2025-ER-0442120"/>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Cesar Rodrigo García2"/>
    <x v="0"/>
    <x v="1"/>
    <s v="PQRS"/>
    <s v="Noviembre"/>
    <x v="1"/>
    <d v="2025-11-05T00:00:00"/>
    <x v="1"/>
    <n v="1069257937"/>
    <s v="2025-ER-0495343"/>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Cristian Enrique Benitez Rodriguez2"/>
    <x v="0"/>
    <x v="1"/>
    <s v="PQRS"/>
    <s v="Noviembre"/>
    <x v="1"/>
    <d v="2025-11-05T00:00:00"/>
    <x v="2"/>
    <n v="1026574814"/>
    <s v="2025-ER-0493070 "/>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0"/>
    <s v="Daniela Murillo Solano1"/>
    <x v="0"/>
    <x v="4"/>
    <s v="PQRS"/>
    <s v="Noviembre"/>
    <x v="1"/>
    <d v="2025-11-05T00:00:00"/>
    <x v="18"/>
    <n v="1234194276"/>
    <s v="2025-ER-0498208"/>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Erika Natalia Ramírez Herrera3"/>
    <x v="0"/>
    <x v="2"/>
    <s v="PQRS"/>
    <s v="Noviembre"/>
    <x v="1"/>
    <d v="2025-11-05T00:00:00"/>
    <x v="3"/>
    <n v="1032367072"/>
    <s v="2025-ER-0447294"/>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Erika Natalia Ramírez Herrera4"/>
    <x v="0"/>
    <x v="2"/>
    <s v="PQRS"/>
    <s v="Noviembre"/>
    <x v="1"/>
    <d v="2025-11-05T00:00:00"/>
    <x v="3"/>
    <n v="1032367072"/>
    <s v="2025-ER-0501528"/>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Henry Eduardo Padilla Castilla3"/>
    <x v="0"/>
    <x v="1"/>
    <s v="PQRS"/>
    <s v="Noviembre"/>
    <x v="1"/>
    <d v="2025-11-05T00:00:00"/>
    <x v="4"/>
    <n v="1063968280"/>
    <s v="2025-ER-0209014"/>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Ingrid Carolina Monsalve Quintero3"/>
    <x v="0"/>
    <x v="2"/>
    <s v="PQRS"/>
    <s v="Noviembre"/>
    <x v="1"/>
    <d v="2025-11-05T00:00:00"/>
    <x v="5"/>
    <n v="52805909"/>
    <s v="2025-ER-0502794"/>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Ingrid Carolina Monsalve Quintero4"/>
    <x v="0"/>
    <x v="2"/>
    <s v="PQRS"/>
    <s v="Noviembre"/>
    <x v="1"/>
    <d v="2025-11-05T00:00:00"/>
    <x v="5"/>
    <n v="52805909"/>
    <s v="2025-ER-0504511"/>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Jesus David Hernandez Fernandez de Castro2"/>
    <x v="0"/>
    <x v="3"/>
    <s v="PQRS"/>
    <s v="Noviembre"/>
    <x v="1"/>
    <d v="2025-11-05T00:00:00"/>
    <x v="6"/>
    <n v="1083038013"/>
    <s v="2025-ER-0482380"/>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Juan Jose Santoya Medina3"/>
    <x v="0"/>
    <x v="1"/>
    <s v="PQRS"/>
    <s v="Noviembre"/>
    <x v="1"/>
    <d v="2025-11-05T00:00:00"/>
    <x v="7"/>
    <n v="1053345183"/>
    <s v="2025-ER-0173005"/>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Juan Jose Santoya Medina4"/>
    <x v="0"/>
    <x v="1"/>
    <s v="PQRS"/>
    <s v="Noviembre"/>
    <x v="1"/>
    <d v="2025-11-05T00:00:00"/>
    <x v="7"/>
    <n v="1053345183"/>
    <s v="2025-ER-0173995"/>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Juan Sebastián Suárez Morales2"/>
    <x v="0"/>
    <x v="1"/>
    <s v="PQRS"/>
    <s v="Noviembre"/>
    <x v="1"/>
    <d v="2025-11-05T00:00:00"/>
    <x v="8"/>
    <n v="1030541070"/>
    <s v="2025-ER-0209986"/>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Laura Juliana Rueda Durán2"/>
    <x v="0"/>
    <x v="1"/>
    <s v="PQRS"/>
    <s v="Noviembre"/>
    <x v="1"/>
    <d v="2025-11-05T00:00:00"/>
    <x v="9"/>
    <n v="1026291591"/>
    <s v="2025-ER-0503919"/>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Laura Ximena Sandoval Galindo2"/>
    <x v="0"/>
    <x v="3"/>
    <s v="PQRS"/>
    <s v="Noviembre"/>
    <x v="1"/>
    <d v="2025-11-05T00:00:00"/>
    <x v="10"/>
    <n v="1030678660"/>
    <s v="2025-ER-0494336"/>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Maira Alejandra Rodriguez Losada3"/>
    <x v="0"/>
    <x v="2"/>
    <s v="PQRS"/>
    <s v="Noviembre"/>
    <x v="1"/>
    <d v="2025-11-05T00:00:00"/>
    <x v="11"/>
    <n v="1075224344"/>
    <s v="2025-ER-0498471"/>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Maira Alejandra Rodriguez Losada4"/>
    <x v="0"/>
    <x v="2"/>
    <s v="PQRS"/>
    <s v="Noviembre"/>
    <x v="1"/>
    <d v="2025-11-05T00:00:00"/>
    <x v="11"/>
    <n v="1075224344"/>
    <s v="2025-ER-0503814"/>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María José Uribe Medina3"/>
    <x v="0"/>
    <x v="2"/>
    <s v="PQRS"/>
    <s v="Noviembre"/>
    <x v="1"/>
    <d v="2025-11-05T00:00:00"/>
    <x v="12"/>
    <n v="1121919150"/>
    <s v="2025-ER-0505089"/>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María José Uribe Medina4"/>
    <x v="0"/>
    <x v="2"/>
    <s v="PQRS"/>
    <s v="Noviembre"/>
    <x v="1"/>
    <d v="2025-11-05T00:00:00"/>
    <x v="12"/>
    <n v="1121919150"/>
    <s v="2025-ER-0498877"/>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Natalia Cañón Betancourt3"/>
    <x v="0"/>
    <x v="2"/>
    <s v="PQRS"/>
    <s v="Noviembre"/>
    <x v="1"/>
    <d v="2025-11-05T00:00:00"/>
    <x v="13"/>
    <n v="1000383417"/>
    <s v="2025-ER-0501445"/>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Natalia Cañón Betancourt4"/>
    <x v="0"/>
    <x v="2"/>
    <s v="PQRS"/>
    <s v="Noviembre"/>
    <x v="1"/>
    <d v="2025-11-05T00:00:00"/>
    <x v="13"/>
    <n v="1000383417"/>
    <s v="2025-ER-0501656"/>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Quira Alejandra Herrera Camelo2"/>
    <x v="0"/>
    <x v="3"/>
    <s v="PQRS"/>
    <s v="Noviembre"/>
    <x v="1"/>
    <d v="2025-11-05T00:00:00"/>
    <x v="14"/>
    <n v="1010214168"/>
    <s v="2025-ER-0477663"/>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Valentina Castillo Rondón2"/>
    <x v="0"/>
    <x v="1"/>
    <s v="PQRS"/>
    <s v="Noviembre"/>
    <x v="1"/>
    <d v="2025-11-05T00:00:00"/>
    <x v="15"/>
    <n v="1121950095"/>
    <s v="2025-ER-0485480"/>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Yenny Maribel Duran Ovejero3"/>
    <x v="0"/>
    <x v="1"/>
    <s v="PQRS"/>
    <s v="Noviembre"/>
    <x v="1"/>
    <d v="2025-11-05T00:00:00"/>
    <x v="16"/>
    <n v="52962387"/>
    <s v="2025-ER-0158260"/>
    <s v="SI"/>
    <s v="SI"/>
    <s v="SI"/>
    <s v="SI"/>
    <n v="1"/>
    <s v="SI"/>
    <s v="SI"/>
    <s v="SI"/>
    <s v="SI"/>
    <n v="1"/>
    <s v="SI"/>
    <s v="SI"/>
    <s v="SI"/>
    <s v="SI"/>
    <s v="SI"/>
    <s v="SI"/>
    <n v="1.000000000000002"/>
    <s v="SI"/>
    <s v="SI"/>
    <n v="1"/>
    <x v="0"/>
    <n v="0"/>
    <n v="0"/>
    <n v="0"/>
    <n v="0"/>
    <n v="0"/>
    <s v="Monitoreo de Calidad – 06/10/2025 (Gestión del 0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Ana Graciela Barbosa Villalobos6"/>
    <x v="0"/>
    <x v="0"/>
    <s v="PQRS"/>
    <s v="Noviembre"/>
    <x v="2"/>
    <d v="2025-11-06T00:00:00"/>
    <x v="0"/>
    <n v="1026264261"/>
    <s v="CS-25-191872"/>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Ana Graciela Barbosa Villalobos7"/>
    <x v="0"/>
    <x v="0"/>
    <s v="PQRS"/>
    <s v="Noviembre"/>
    <x v="2"/>
    <d v="2025-11-06T00:00:00"/>
    <x v="0"/>
    <n v="1026264261"/>
    <s v="CS-25-192051"/>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1"/>
    <s v="Andrés Felipe Silva Martínez2"/>
    <x v="0"/>
    <x v="3"/>
    <s v="PQRS"/>
    <s v="Noviembre"/>
    <x v="2"/>
    <d v="2025-11-06T00:00:00"/>
    <x v="17"/>
    <n v="1120362660"/>
    <s v="2025-ER-0493653"/>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Cesar Rodrigo García3"/>
    <x v="0"/>
    <x v="1"/>
    <s v="PQRS"/>
    <s v="Noviembre"/>
    <x v="2"/>
    <d v="2025-11-06T00:00:00"/>
    <x v="1"/>
    <n v="1069257937"/>
    <s v="2025-ER-0494924"/>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Cristian Enrique Benitez Rodriguez3"/>
    <x v="0"/>
    <x v="1"/>
    <s v="PQRS"/>
    <s v="Noviembre"/>
    <x v="2"/>
    <d v="2025-11-06T00:00:00"/>
    <x v="2"/>
    <n v="1026574814"/>
    <s v="2025-ER-0481326"/>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Erika Natalia Ramírez Herrera5"/>
    <x v="0"/>
    <x v="2"/>
    <s v="PQRS"/>
    <s v="Noviembre"/>
    <x v="2"/>
    <d v="2025-11-06T00:00:00"/>
    <x v="3"/>
    <n v="1032367072"/>
    <s v="2025-ER-0503849"/>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Erika Natalia Ramírez Herrera6"/>
    <x v="0"/>
    <x v="2"/>
    <s v="PQRS"/>
    <s v="Noviembre"/>
    <x v="2"/>
    <d v="2025-11-06T00:00:00"/>
    <x v="3"/>
    <n v="1032367072"/>
    <s v="2025-ER-0451296"/>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6"/>
    <s v="Erika Natalia Ramírez Herrera7"/>
    <x v="0"/>
    <x v="2"/>
    <s v="PQRS"/>
    <s v="Noviembre"/>
    <x v="2"/>
    <d v="2025-11-06T00:00:00"/>
    <x v="3"/>
    <n v="1032367072"/>
    <s v="2025-ER-0483478"/>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Henry Eduardo Padilla Castilla4"/>
    <x v="0"/>
    <x v="1"/>
    <s v="PQRS"/>
    <s v="Noviembre"/>
    <x v="2"/>
    <d v="2025-11-06T00:00:00"/>
    <x v="4"/>
    <n v="1063968280"/>
    <s v="2025-ER-0204618"/>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Ingrid Carolina Monsalve Quintero5"/>
    <x v="0"/>
    <x v="2"/>
    <s v="PQRS"/>
    <s v="Noviembre"/>
    <x v="2"/>
    <d v="2025-11-06T00:00:00"/>
    <x v="5"/>
    <n v="52805909"/>
    <s v="2025-ER-0505725"/>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Ingrid Carolina Monsalve Quintero6"/>
    <x v="0"/>
    <x v="2"/>
    <s v="PQRS"/>
    <s v="Noviembre"/>
    <x v="2"/>
    <d v="2025-11-06T00:00:00"/>
    <x v="5"/>
    <n v="52805909"/>
    <s v="2025-ER-0507133"/>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Jesus David Hernandez Fernandez de Castro3"/>
    <x v="0"/>
    <x v="3"/>
    <s v="PQRS"/>
    <s v="Noviembre"/>
    <x v="2"/>
    <d v="2025-11-06T00:00:00"/>
    <x v="6"/>
    <n v="1083038013"/>
    <s v="2025-ER-0496626"/>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Juan Jose Santoya Medina5"/>
    <x v="0"/>
    <x v="1"/>
    <s v="PQRS"/>
    <s v="Noviembre"/>
    <x v="2"/>
    <d v="2025-11-06T00:00:00"/>
    <x v="7"/>
    <n v="1053345183"/>
    <s v="2025-ER-0322384"/>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Juan Jose Santoya Medina6"/>
    <x v="0"/>
    <x v="1"/>
    <s v="PQRS"/>
    <s v="Noviembre"/>
    <x v="2"/>
    <d v="2025-11-06T00:00:00"/>
    <x v="7"/>
    <n v="1053345183"/>
    <s v="2025-ER-0325076"/>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Juan Sebastián Suárez Morales3"/>
    <x v="0"/>
    <x v="1"/>
    <s v="PQRS"/>
    <s v="Noviembre"/>
    <x v="2"/>
    <d v="2025-11-06T00:00:00"/>
    <x v="8"/>
    <n v="1030541070"/>
    <s v="2025-ER-0502549 "/>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Laura Juliana Rueda Durán3"/>
    <x v="0"/>
    <x v="1"/>
    <s v="PQRS"/>
    <s v="Noviembre"/>
    <x v="2"/>
    <d v="2025-11-06T00:00:00"/>
    <x v="9"/>
    <n v="1026291591"/>
    <s v="2025-ER-0495222"/>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Laura Ximena Sandoval Galindo3"/>
    <x v="0"/>
    <x v="3"/>
    <s v="PQRS"/>
    <s v="Noviembre"/>
    <x v="2"/>
    <d v="2025-11-06T00:00:00"/>
    <x v="10"/>
    <n v="1030678660"/>
    <s v="2025-ER-0507144"/>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Maira Alejandra Rodriguez Losada5"/>
    <x v="0"/>
    <x v="2"/>
    <s v="PQRS"/>
    <s v="Noviembre"/>
    <x v="2"/>
    <d v="2025-11-06T00:00:00"/>
    <x v="11"/>
    <n v="1075224344"/>
    <s v="2025-ER-0501379"/>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Maira Alejandra Rodriguez Losada6"/>
    <x v="0"/>
    <x v="2"/>
    <s v="PQRS"/>
    <s v="Noviembre"/>
    <x v="2"/>
    <d v="2025-11-06T00:00:00"/>
    <x v="11"/>
    <n v="1075224344"/>
    <s v="2025-ER-0503830"/>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María José Uribe Medina5"/>
    <x v="0"/>
    <x v="2"/>
    <s v="PQRS"/>
    <s v="Noviembre"/>
    <x v="2"/>
    <d v="2025-11-06T00:00:00"/>
    <x v="12"/>
    <n v="1121919150"/>
    <s v="2025-ER-0502799"/>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María José Uribe Medina6"/>
    <x v="0"/>
    <x v="2"/>
    <s v="PQRS"/>
    <s v="Noviembre"/>
    <x v="2"/>
    <d v="2025-11-06T00:00:00"/>
    <x v="12"/>
    <n v="1121919150"/>
    <s v="2025-ER-0507281"/>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4"/>
    <s v="Natalia Cañón Betancourt5"/>
    <x v="0"/>
    <x v="2"/>
    <s v="PQRS"/>
    <s v="Noviembre"/>
    <x v="2"/>
    <d v="2025-11-06T00:00:00"/>
    <x v="13"/>
    <n v="1000383417"/>
    <s v="2025-ER-0501765"/>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5"/>
    <s v="Natalia Cañón Betancourt6"/>
    <x v="0"/>
    <x v="2"/>
    <s v="PQRS"/>
    <s v="Noviembre"/>
    <x v="2"/>
    <d v="2025-11-06T00:00:00"/>
    <x v="13"/>
    <n v="1000383417"/>
    <s v="2025-ER-0501624"/>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Quira Alejandra Herrera Camelo3"/>
    <x v="0"/>
    <x v="3"/>
    <s v="PQRS"/>
    <s v="Noviembre"/>
    <x v="2"/>
    <d v="2025-11-06T00:00:00"/>
    <x v="14"/>
    <n v="1010214168"/>
    <s v="2025-ER-0492476"/>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2"/>
    <s v="Valentina Castillo Rondón3"/>
    <x v="0"/>
    <x v="1"/>
    <s v="PQRS"/>
    <s v="Noviembre"/>
    <x v="2"/>
    <d v="2025-11-06T00:00:00"/>
    <x v="15"/>
    <n v="1121950095"/>
    <s v="2025-ER-0478096"/>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3"/>
    <s v="Yenny Maribel Duran Ovejero4"/>
    <x v="0"/>
    <x v="1"/>
    <s v="PQRS"/>
    <s v="Noviembre"/>
    <x v="2"/>
    <d v="2025-11-06T00:00:00"/>
    <x v="16"/>
    <n v="52962387"/>
    <s v="2025-ER-0363150"/>
    <s v="SI"/>
    <s v="SI"/>
    <s v="SI"/>
    <s v="SI"/>
    <n v="1"/>
    <s v="SI"/>
    <s v="SI"/>
    <s v="SI"/>
    <s v="SI"/>
    <n v="1"/>
    <s v="SI"/>
    <s v="SI"/>
    <s v="SI"/>
    <s v="SI"/>
    <s v="SI"/>
    <s v="SI"/>
    <n v="1.000000000000002"/>
    <s v="SI"/>
    <s v="SI"/>
    <n v="1"/>
    <x v="0"/>
    <n v="0"/>
    <n v="0"/>
    <n v="0"/>
    <n v="0"/>
    <n v="0"/>
    <s v="Monitoreo de Calidad – 07/10/2025 (Gestión del 0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0"/>
  </r>
  <r>
    <s v="Ministerio de Educación Nacional"/>
    <x v="7"/>
    <s v="Ana Graciela Barbosa Villalobos8"/>
    <x v="0"/>
    <x v="0"/>
    <s v="PQRS"/>
    <s v="Noviembre"/>
    <x v="3"/>
    <d v="2025-11-07T00:00:00"/>
    <x v="0"/>
    <n v="1026264261"/>
    <s v="CS-25-192112"/>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Ana Graciela Barbosa Villalobos9"/>
    <x v="0"/>
    <x v="0"/>
    <s v="PQRS"/>
    <s v="Noviembre"/>
    <x v="3"/>
    <d v="2025-11-07T00:00:00"/>
    <x v="0"/>
    <n v="1026264261"/>
    <s v="CS-25-192120"/>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Ana Graciela Barbosa Villalobos10"/>
    <x v="0"/>
    <x v="0"/>
    <s v="PQRS"/>
    <s v="Noviembre"/>
    <x v="3"/>
    <d v="2025-11-07T00:00:00"/>
    <x v="0"/>
    <n v="1026264261"/>
    <s v="CS-25-192161"/>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Ana Graciela Barbosa Villalobos11"/>
    <x v="0"/>
    <x v="0"/>
    <s v="PQRS"/>
    <s v="Noviembre"/>
    <x v="3"/>
    <d v="2025-11-07T00:00:00"/>
    <x v="0"/>
    <n v="1026264261"/>
    <s v="CS-25-192189"/>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Ana Graciela Barbosa Villalobos12"/>
    <x v="0"/>
    <x v="0"/>
    <s v="PQRS"/>
    <s v="Noviembre"/>
    <x v="3"/>
    <d v="2025-11-07T00:00:00"/>
    <x v="0"/>
    <n v="1026264261"/>
    <s v="CS-25-192226"/>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Ana Graciela Barbosa Villalobos13"/>
    <x v="0"/>
    <x v="0"/>
    <s v="PQRS"/>
    <s v="Noviembre"/>
    <x v="3"/>
    <d v="2025-11-07T00:00:00"/>
    <x v="0"/>
    <n v="1026264261"/>
    <s v="CS-25-192300"/>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Cesar Rodrigo García4"/>
    <x v="0"/>
    <x v="1"/>
    <s v="PQRS"/>
    <s v="Noviembre"/>
    <x v="3"/>
    <d v="2025-11-07T00:00:00"/>
    <x v="1"/>
    <n v="1069257937"/>
    <s v="2025-ER-0420736"/>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Cristian Enrique Benitez Rodriguez4"/>
    <x v="0"/>
    <x v="1"/>
    <s v="PQRS"/>
    <s v="Noviembre"/>
    <x v="3"/>
    <d v="2025-11-07T00:00:00"/>
    <x v="2"/>
    <n v="1026574814"/>
    <s v="2025-ER-0494950"/>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
    <s v="Daniela Murillo Solano2"/>
    <x v="0"/>
    <x v="4"/>
    <s v="PQRS"/>
    <s v="Noviembre"/>
    <x v="3"/>
    <d v="2025-11-07T00:00:00"/>
    <x v="18"/>
    <n v="1234194276"/>
    <s v="2025-ER-0501903"/>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Erika Natalia Ramírez Herrera8"/>
    <x v="0"/>
    <x v="2"/>
    <s v="PQRS"/>
    <s v="Noviembre"/>
    <x v="3"/>
    <d v="2025-11-07T00:00:00"/>
    <x v="3"/>
    <n v="1032367072"/>
    <s v="2025-ER-0505813"/>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Erika Natalia Ramírez Herrera9"/>
    <x v="0"/>
    <x v="2"/>
    <s v="PQRS"/>
    <s v="Noviembre"/>
    <x v="3"/>
    <d v="2025-11-07T00:00:00"/>
    <x v="3"/>
    <n v="1032367072"/>
    <s v="2025-ER-0507250"/>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Erika Natalia Ramírez Herrera10"/>
    <x v="0"/>
    <x v="2"/>
    <s v="PQRS"/>
    <s v="Noviembre"/>
    <x v="3"/>
    <d v="2025-11-07T00:00:00"/>
    <x v="3"/>
    <n v="1032367072"/>
    <s v="2025-ER-0507313"/>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Erika Natalia Ramírez Herrera11"/>
    <x v="0"/>
    <x v="2"/>
    <s v="PQRS"/>
    <s v="Noviembre"/>
    <x v="3"/>
    <d v="2025-11-07T00:00:00"/>
    <x v="3"/>
    <n v="1032367072"/>
    <s v="2025-ER-0505770"/>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Henry Eduardo Padilla Castilla5"/>
    <x v="0"/>
    <x v="1"/>
    <s v="PQRS"/>
    <s v="Noviembre"/>
    <x v="3"/>
    <d v="2025-11-07T00:00:00"/>
    <x v="4"/>
    <n v="1063968280"/>
    <s v="2025-ER-0494973"/>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Ingrid Carolina Monsalve Quintero7"/>
    <x v="0"/>
    <x v="2"/>
    <s v="PQRS"/>
    <s v="Noviembre"/>
    <x v="3"/>
    <d v="2025-11-07T00:00:00"/>
    <x v="5"/>
    <n v="52805909"/>
    <s v="2025-ER-0501588"/>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Ingrid Carolina Monsalve Quintero8"/>
    <x v="0"/>
    <x v="2"/>
    <s v="PQRS"/>
    <s v="Noviembre"/>
    <x v="3"/>
    <d v="2025-11-07T00:00:00"/>
    <x v="5"/>
    <n v="52805909"/>
    <s v="2025-ER-0509285"/>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Juan Jose Santoya Medina7"/>
    <x v="0"/>
    <x v="1"/>
    <s v="PQRS"/>
    <s v="Noviembre"/>
    <x v="3"/>
    <d v="2025-11-07T00:00:00"/>
    <x v="7"/>
    <n v="1053345183"/>
    <s v="2025-ER-0327308 "/>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Juan Sebastián Suárez Morales4"/>
    <x v="0"/>
    <x v="1"/>
    <s v="PQRS"/>
    <s v="Noviembre"/>
    <x v="3"/>
    <d v="2025-11-07T00:00:00"/>
    <x v="8"/>
    <n v="1030541070"/>
    <s v="2025-ER-0210706"/>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Juan Sebastián Suárez Morales5"/>
    <x v="0"/>
    <x v="1"/>
    <s v="PQRS"/>
    <s v="Noviembre"/>
    <x v="3"/>
    <d v="2025-11-07T00:00:00"/>
    <x v="8"/>
    <n v="1030541070"/>
    <s v="2025-ER-0287022"/>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Laura Juliana Rueda Durán4"/>
    <x v="0"/>
    <x v="1"/>
    <s v="PQRS"/>
    <s v="Noviembre"/>
    <x v="3"/>
    <d v="2025-11-07T00:00:00"/>
    <x v="9"/>
    <n v="1026291591"/>
    <s v="2025-ER-0505165"/>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Laura Ximena Sandoval Galindo4"/>
    <x v="0"/>
    <x v="3"/>
    <s v="PQRS"/>
    <s v="Noviembre"/>
    <x v="3"/>
    <d v="2025-11-07T00:00:00"/>
    <x v="10"/>
    <n v="1030678660"/>
    <s v="2025-ER-0483328"/>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Maira Alejandra Rodriguez Losada7"/>
    <x v="0"/>
    <x v="2"/>
    <s v="PQRS"/>
    <s v="Noviembre"/>
    <x v="3"/>
    <d v="2025-11-07T00:00:00"/>
    <x v="11"/>
    <n v="1075224344"/>
    <s v="2025-ER-0504846"/>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Maira Alejandra Rodriguez Losada8"/>
    <x v="0"/>
    <x v="2"/>
    <s v="PQRS"/>
    <s v="Noviembre"/>
    <x v="3"/>
    <d v="2025-11-07T00:00:00"/>
    <x v="11"/>
    <n v="1075224344"/>
    <s v="2025-ER-0509332"/>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María José Uribe Medina7"/>
    <x v="0"/>
    <x v="2"/>
    <s v="PQRS"/>
    <s v="Noviembre"/>
    <x v="3"/>
    <d v="2025-11-07T00:00:00"/>
    <x v="12"/>
    <n v="1121919150"/>
    <s v="2025-ER-0494364"/>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María José Uribe Medina8"/>
    <x v="0"/>
    <x v="2"/>
    <s v="PQRS"/>
    <s v="Noviembre"/>
    <x v="3"/>
    <d v="2025-11-07T00:00:00"/>
    <x v="12"/>
    <n v="1121919150"/>
    <s v="2025-ER-0491523"/>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Natalia Cañón Betancourt7"/>
    <x v="0"/>
    <x v="2"/>
    <s v="PQRS"/>
    <s v="Noviembre"/>
    <x v="3"/>
    <d v="2025-11-07T00:00:00"/>
    <x v="13"/>
    <n v="1000383417"/>
    <s v="2025-ER-0502717"/>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Natalia Cañón Betancourt8"/>
    <x v="0"/>
    <x v="2"/>
    <s v="PQRS"/>
    <s v="Noviembre"/>
    <x v="3"/>
    <d v="2025-11-07T00:00:00"/>
    <x v="13"/>
    <n v="1000383417"/>
    <s v="2025-ER-0503051"/>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Quira Alejandra Herrera Camelo4"/>
    <x v="0"/>
    <x v="3"/>
    <s v="PQRS"/>
    <s v="Noviembre"/>
    <x v="3"/>
    <d v="2025-11-07T00:00:00"/>
    <x v="14"/>
    <n v="1010214168"/>
    <s v="2025-ER-0478095"/>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Valentina Castillo Rondón4"/>
    <x v="0"/>
    <x v="1"/>
    <s v="PQRS"/>
    <s v="Noviembre"/>
    <x v="3"/>
    <d v="2025-11-07T00:00:00"/>
    <x v="15"/>
    <n v="1121950095"/>
    <s v="2025-ER-0484213"/>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Yenny Maribel Duran Ovejero5"/>
    <x v="0"/>
    <x v="1"/>
    <s v="PQRS"/>
    <s v="Noviembre"/>
    <x v="3"/>
    <d v="2025-11-07T00:00:00"/>
    <x v="16"/>
    <n v="52962387"/>
    <s v="2025-ER-0494581"/>
    <s v="SI"/>
    <s v="SI"/>
    <s v="SI"/>
    <s v="SI"/>
    <n v="1"/>
    <s v="SI"/>
    <s v="SI"/>
    <s v="SI"/>
    <s v="SI"/>
    <n v="1"/>
    <s v="SI"/>
    <s v="SI"/>
    <s v="SI"/>
    <s v="SI"/>
    <s v="SI"/>
    <s v="SI"/>
    <n v="1.000000000000002"/>
    <s v="SI"/>
    <s v="SI"/>
    <n v="1"/>
    <x v="0"/>
    <n v="0"/>
    <n v="0"/>
    <n v="0"/>
    <n v="0"/>
    <n v="0"/>
    <s v="Monitoreo de Calidad – 10/10/2025 (Gestión del 0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Ana Graciela Barbosa Villalobos14"/>
    <x v="0"/>
    <x v="0"/>
    <s v="PQRS"/>
    <s v="Noviembre"/>
    <x v="4"/>
    <d v="2025-11-10T00:00:00"/>
    <x v="0"/>
    <n v="1026264261"/>
    <s v="2025-ER-0489160"/>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Ana Graciela Barbosa Villalobos15"/>
    <x v="0"/>
    <x v="0"/>
    <s v="PQRS"/>
    <s v="Noviembre"/>
    <x v="4"/>
    <d v="2025-11-10T00:00:00"/>
    <x v="0"/>
    <n v="1026264261"/>
    <s v="CS-25-192427"/>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Ana Graciela Barbosa Villalobos16"/>
    <x v="0"/>
    <x v="0"/>
    <s v="PQRS"/>
    <s v="Noviembre"/>
    <x v="4"/>
    <d v="2025-11-10T00:00:00"/>
    <x v="0"/>
    <n v="1026264261"/>
    <s v="CS-25-192475"/>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
    <s v="Andrés Felipe Silva Martínez3"/>
    <x v="0"/>
    <x v="3"/>
    <s v="PQRS"/>
    <s v="Noviembre"/>
    <x v="4"/>
    <d v="2025-11-10T00:00:00"/>
    <x v="17"/>
    <n v="1120362660"/>
    <s v="2025-ER-0487876"/>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Cesar Rodrigo García5"/>
    <x v="0"/>
    <x v="1"/>
    <s v="PQRS"/>
    <s v="Noviembre"/>
    <x v="4"/>
    <d v="2025-11-10T00:00:00"/>
    <x v="1"/>
    <n v="1069257937"/>
    <s v="2025-ER-0502518"/>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Cristian Enrique Benitez Rodriguez5"/>
    <x v="0"/>
    <x v="1"/>
    <s v="PQRS"/>
    <s v="Noviembre"/>
    <x v="4"/>
    <d v="2025-11-10T00:00:00"/>
    <x v="2"/>
    <n v="1026574814"/>
    <s v="2025-ER-0496654"/>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Erika Natalia Ramírez Herrera12"/>
    <x v="0"/>
    <x v="2"/>
    <s v="PQRS"/>
    <s v="Noviembre"/>
    <x v="4"/>
    <d v="2025-11-10T00:00:00"/>
    <x v="3"/>
    <n v="1032367072"/>
    <s v="2025-ER-0510321"/>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Erika Natalia Ramírez Herrera13"/>
    <x v="0"/>
    <x v="2"/>
    <s v="PQRS"/>
    <s v="Noviembre"/>
    <x v="4"/>
    <d v="2025-11-10T00:00:00"/>
    <x v="3"/>
    <n v="1032367072"/>
    <s v="2025-ER-0511551"/>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Erika Natalia Ramírez Herrera14"/>
    <x v="0"/>
    <x v="2"/>
    <s v="PQRS"/>
    <s v="Noviembre"/>
    <x v="4"/>
    <d v="2025-11-10T00:00:00"/>
    <x v="3"/>
    <n v="1032367072"/>
    <s v="2025-ER-0506631"/>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Henry Eduardo Padilla Castilla6"/>
    <x v="0"/>
    <x v="1"/>
    <s v="PQRS"/>
    <s v="Noviembre"/>
    <x v="4"/>
    <d v="2025-11-10T00:00:00"/>
    <x v="4"/>
    <n v="1063968280"/>
    <s v="2025-ER-0268048"/>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Ingrid Carolina Monsalve Quintero9"/>
    <x v="0"/>
    <x v="2"/>
    <s v="PQRS"/>
    <s v="Noviembre"/>
    <x v="4"/>
    <d v="2025-11-10T00:00:00"/>
    <x v="5"/>
    <n v="52805909"/>
    <s v="2025-ER-0510419"/>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Ingrid Carolina Monsalve Quintero10"/>
    <x v="0"/>
    <x v="2"/>
    <s v="PQRS"/>
    <s v="Noviembre"/>
    <x v="4"/>
    <d v="2025-11-10T00:00:00"/>
    <x v="5"/>
    <n v="52805909"/>
    <s v="2025-ER-0509013"/>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Jesus David Hernandez Fernandez de Castro4"/>
    <x v="0"/>
    <x v="3"/>
    <s v="PQRS"/>
    <s v="Noviembre"/>
    <x v="4"/>
    <d v="2025-11-10T00:00:00"/>
    <x v="6"/>
    <n v="1083038013"/>
    <s v="2025-ER-0484211"/>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Juan Jose Santoya Medina8"/>
    <x v="0"/>
    <x v="1"/>
    <s v="PQRS"/>
    <s v="Noviembre"/>
    <x v="4"/>
    <d v="2025-11-10T00:00:00"/>
    <x v="7"/>
    <n v="1053345183"/>
    <s v="2025-ER-0410496"/>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Juan Jose Santoya Medina9"/>
    <x v="0"/>
    <x v="1"/>
    <s v="PQRS"/>
    <s v="Noviembre"/>
    <x v="4"/>
    <d v="2025-11-10T00:00:00"/>
    <x v="7"/>
    <n v="1053345183"/>
    <s v="2025-ER-0472700"/>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Juan Sebastián Suárez Morales6"/>
    <x v="0"/>
    <x v="1"/>
    <s v="PQRS"/>
    <s v="Noviembre"/>
    <x v="4"/>
    <d v="2025-11-10T00:00:00"/>
    <x v="8"/>
    <n v="1030541070"/>
    <s v="2025-ER-0408027"/>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Juan Sebastián Suárez Morales7"/>
    <x v="0"/>
    <x v="1"/>
    <s v="PQRS"/>
    <s v="Noviembre"/>
    <x v="4"/>
    <d v="2025-11-10T00:00:00"/>
    <x v="8"/>
    <n v="1030541070"/>
    <s v="2025-ER-0385390"/>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Laura Juliana Rueda Durán5"/>
    <x v="0"/>
    <x v="1"/>
    <s v="PQRS"/>
    <s v="Noviembre"/>
    <x v="4"/>
    <d v="2025-11-10T00:00:00"/>
    <x v="9"/>
    <n v="1026291591"/>
    <s v="2025-ER-0502818"/>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Laura Ximena Sandoval Galindo5"/>
    <x v="0"/>
    <x v="3"/>
    <s v="PQRS"/>
    <s v="Noviembre"/>
    <x v="4"/>
    <d v="2025-11-10T00:00:00"/>
    <x v="10"/>
    <n v="1030678660"/>
    <s v="2025-ER-0449067"/>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Maira Alejandra Rodriguez Losada9"/>
    <x v="0"/>
    <x v="2"/>
    <s v="PQRS"/>
    <s v="Noviembre"/>
    <x v="4"/>
    <d v="2025-11-10T00:00:00"/>
    <x v="11"/>
    <n v="1075224344"/>
    <s v="2025-ER-0509554"/>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Maira Alejandra Rodriguez Losada10"/>
    <x v="0"/>
    <x v="2"/>
    <s v="PQRS"/>
    <s v="Noviembre"/>
    <x v="4"/>
    <d v="2025-11-10T00:00:00"/>
    <x v="11"/>
    <n v="1075224344"/>
    <s v="2025-ER-0510348"/>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María José Uribe Medina9"/>
    <x v="0"/>
    <x v="2"/>
    <s v="PQRS"/>
    <s v="Noviembre"/>
    <x v="4"/>
    <d v="2025-11-10T00:00:00"/>
    <x v="12"/>
    <n v="1121919150"/>
    <s v="2025-ER-0508336"/>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María José Uribe Medina10"/>
    <x v="0"/>
    <x v="2"/>
    <s v="PQRS"/>
    <s v="Noviembre"/>
    <x v="4"/>
    <d v="2025-11-10T00:00:00"/>
    <x v="12"/>
    <n v="1121919150"/>
    <s v="2025-ER-0511974"/>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Natalia Cañón Betancourt9"/>
    <x v="0"/>
    <x v="2"/>
    <s v="PQRS"/>
    <s v="Noviembre"/>
    <x v="4"/>
    <d v="2025-11-10T00:00:00"/>
    <x v="13"/>
    <n v="1000383417"/>
    <s v="2025-ER-0503966"/>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Natalia Cañón Betancourt10"/>
    <x v="0"/>
    <x v="2"/>
    <s v="PQRS"/>
    <s v="Noviembre"/>
    <x v="4"/>
    <d v="2025-11-10T00:00:00"/>
    <x v="13"/>
    <n v="1000383417"/>
    <s v="2025-ER-0506679"/>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Quira Alejandra Herrera Camelo5"/>
    <x v="0"/>
    <x v="3"/>
    <s v="Correo"/>
    <s v="Noviembre"/>
    <x v="4"/>
    <d v="2025-11-10T00:00:00"/>
    <x v="14"/>
    <n v="1010214168"/>
    <s v="SOL990132 "/>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Valentina Castillo Rondón5"/>
    <x v="0"/>
    <x v="1"/>
    <s v="PQRS"/>
    <s v="Noviembre"/>
    <x v="4"/>
    <d v="2025-11-10T00:00:00"/>
    <x v="15"/>
    <n v="1121950095"/>
    <s v="2025-ER-0485393"/>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Yenny Maribel Duran Ovejero6"/>
    <x v="0"/>
    <x v="1"/>
    <s v="PQRS"/>
    <s v="Noviembre"/>
    <x v="4"/>
    <d v="2025-11-10T00:00:00"/>
    <x v="16"/>
    <n v="52962387"/>
    <s v="2025-ER-0500434"/>
    <s v="SI"/>
    <s v="SI"/>
    <s v="SI"/>
    <s v="SI"/>
    <n v="1"/>
    <s v="SI"/>
    <s v="SI"/>
    <s v="SI"/>
    <s v="SI"/>
    <n v="1"/>
    <s v="SI"/>
    <s v="SI"/>
    <s v="SI"/>
    <s v="SI"/>
    <s v="SI"/>
    <s v="SI"/>
    <n v="1.000000000000002"/>
    <s v="SI"/>
    <s v="SI"/>
    <n v="1"/>
    <x v="0"/>
    <n v="0"/>
    <n v="0"/>
    <n v="0"/>
    <n v="0"/>
    <n v="0"/>
    <s v="Monitoreo de Calidad – 11/10/2025 (Gestión del 1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6"/>
    <s v="Ana Graciela Barbosa Villalobos17"/>
    <x v="0"/>
    <x v="0"/>
    <s v="PQRS"/>
    <s v="Noviembre"/>
    <x v="5"/>
    <d v="2025-11-11T00:00:00"/>
    <x v="0"/>
    <n v="1026264261"/>
    <s v="CS-25-192681"/>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7"/>
    <s v="Ana Graciela Barbosa Villalobos18"/>
    <x v="0"/>
    <x v="0"/>
    <s v="PQRS"/>
    <s v="Noviembre"/>
    <x v="5"/>
    <d v="2025-11-11T00:00:00"/>
    <x v="0"/>
    <n v="1026264261"/>
    <s v="2025-ER-0488515"/>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Andrés Felipe Silva Martínez4"/>
    <x v="0"/>
    <x v="3"/>
    <s v="PQRS"/>
    <s v="Noviembre"/>
    <x v="5"/>
    <d v="2025-11-11T00:00:00"/>
    <x v="17"/>
    <n v="1120362660"/>
    <s v="2025-ER-0493047"/>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Cesar Rodrigo García6"/>
    <x v="0"/>
    <x v="1"/>
    <s v="PQRS"/>
    <s v="Noviembre"/>
    <x v="5"/>
    <d v="2025-11-11T00:00:00"/>
    <x v="1"/>
    <n v="1069257937"/>
    <s v="2025-ER-0504821"/>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Cristian Enrique Benitez Rodriguez6"/>
    <x v="0"/>
    <x v="1"/>
    <s v="PQRS"/>
    <s v="Noviembre"/>
    <x v="5"/>
    <d v="2025-11-11T00:00:00"/>
    <x v="2"/>
    <n v="1026574814"/>
    <s v="2025-ER-0222132"/>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
    <s v="Daniela Murillo Solano3"/>
    <x v="0"/>
    <x v="4"/>
    <s v="PQRS"/>
    <s v="Noviembre"/>
    <x v="5"/>
    <d v="2025-11-11T00:00:00"/>
    <x v="18"/>
    <n v="1234194276"/>
    <s v="2025-ER-0409538"/>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Erika Natalia Ramírez Herrera15"/>
    <x v="0"/>
    <x v="2"/>
    <s v="PQRS"/>
    <s v="Noviembre"/>
    <x v="5"/>
    <d v="2025-11-11T00:00:00"/>
    <x v="3"/>
    <n v="1032367072"/>
    <s v="2025-ER-0462922"/>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Erika Natalia Ramírez Herrera16"/>
    <x v="0"/>
    <x v="2"/>
    <s v="PQRS"/>
    <s v="Noviembre"/>
    <x v="5"/>
    <d v="2025-11-11T00:00:00"/>
    <x v="3"/>
    <n v="1032367072"/>
    <s v="2025-ER-0514888"/>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6"/>
    <s v="Erika Natalia Ramírez Herrera17"/>
    <x v="0"/>
    <x v="2"/>
    <s v="PQRS"/>
    <s v="Noviembre"/>
    <x v="5"/>
    <d v="2025-11-11T00:00:00"/>
    <x v="3"/>
    <n v="1032367072"/>
    <s v="2025-ER-0450611"/>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7"/>
    <s v="Erika Natalia Ramírez Herrera18"/>
    <x v="0"/>
    <x v="2"/>
    <s v="PQRS"/>
    <s v="Noviembre"/>
    <x v="5"/>
    <d v="2025-11-11T00:00:00"/>
    <x v="3"/>
    <n v="1032367072"/>
    <s v="2025-ER-0483638"/>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Henry Eduardo Padilla Castilla7"/>
    <x v="0"/>
    <x v="1"/>
    <s v="PQRS"/>
    <s v="Noviembre"/>
    <x v="5"/>
    <d v="2025-11-11T00:00:00"/>
    <x v="4"/>
    <n v="1063968280"/>
    <s v="2025-ER-0485400"/>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Ingrid Carolina Monsalve Quintero11"/>
    <x v="0"/>
    <x v="2"/>
    <s v="PQRS"/>
    <s v="Noviembre"/>
    <x v="5"/>
    <d v="2025-11-11T00:00:00"/>
    <x v="5"/>
    <n v="52805909"/>
    <s v="2025-ER-0512072"/>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Ingrid Carolina Monsalve Quintero12"/>
    <x v="0"/>
    <x v="2"/>
    <s v="PQRS"/>
    <s v="Noviembre"/>
    <x v="5"/>
    <d v="2025-11-11T00:00:00"/>
    <x v="5"/>
    <n v="52805909"/>
    <s v="2025-ER-0512435"/>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Jesus David Hernandez Fernandez de Castro5"/>
    <x v="0"/>
    <x v="3"/>
    <s v="PQRS"/>
    <s v="Noviembre"/>
    <x v="5"/>
    <d v="2025-11-11T00:00:00"/>
    <x v="6"/>
    <n v="1083038013"/>
    <s v="2025-ER-0507629"/>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Juan Jose Santoya Medina10"/>
    <x v="0"/>
    <x v="1"/>
    <s v="PQRS"/>
    <s v="Noviembre"/>
    <x v="5"/>
    <d v="2025-11-11T00:00:00"/>
    <x v="7"/>
    <n v="1053345183"/>
    <s v="2025-ER-0478001"/>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Juan Jose Santoya Medina11"/>
    <x v="0"/>
    <x v="1"/>
    <s v="PQRS"/>
    <s v="Noviembre"/>
    <x v="5"/>
    <d v="2025-11-11T00:00:00"/>
    <x v="7"/>
    <n v="1053345183"/>
    <s v="2025-ER-0495568"/>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Juan Sebastián Suárez Morales8"/>
    <x v="0"/>
    <x v="1"/>
    <s v="PQRS"/>
    <s v="Noviembre"/>
    <x v="5"/>
    <d v="2025-11-11T00:00:00"/>
    <x v="8"/>
    <n v="1030541070"/>
    <s v="2025-ER-0484158 "/>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Laura Juliana Rueda Durán6"/>
    <x v="0"/>
    <x v="1"/>
    <s v="PQRS"/>
    <s v="Noviembre"/>
    <x v="5"/>
    <d v="2025-11-11T00:00:00"/>
    <x v="9"/>
    <n v="1026291591"/>
    <s v="2025-ER-0514067"/>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Laura Ximena Sandoval Galindo6"/>
    <x v="0"/>
    <x v="3"/>
    <s v="Correo"/>
    <s v="Noviembre"/>
    <x v="5"/>
    <d v="2025-11-11T00:00:00"/>
    <x v="10"/>
    <n v="1030678660"/>
    <s v="SOL992203"/>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Maira Alejandra Rodriguez Losada11"/>
    <x v="0"/>
    <x v="2"/>
    <s v="PQRS"/>
    <s v="Noviembre"/>
    <x v="5"/>
    <d v="2025-11-11T00:00:00"/>
    <x v="11"/>
    <n v="1075224344"/>
    <s v="2025-ER-0510380"/>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Maira Alejandra Rodriguez Losada12"/>
    <x v="0"/>
    <x v="2"/>
    <s v="PQRS"/>
    <s v="Noviembre"/>
    <x v="5"/>
    <d v="2025-11-11T00:00:00"/>
    <x v="11"/>
    <n v="1075224344"/>
    <s v="2025-ER-0489832"/>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María José Uribe Medina11"/>
    <x v="0"/>
    <x v="2"/>
    <s v="PQRS"/>
    <s v="Noviembre"/>
    <x v="5"/>
    <d v="2025-11-11T00:00:00"/>
    <x v="12"/>
    <n v="1121919150"/>
    <s v="2025-ER-0513010"/>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María José Uribe Medina12"/>
    <x v="0"/>
    <x v="2"/>
    <s v="PQRS"/>
    <s v="Noviembre"/>
    <x v="5"/>
    <d v="2025-11-11T00:00:00"/>
    <x v="12"/>
    <n v="1121919150"/>
    <s v="2025-ER-0508519"/>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0"/>
    <s v="Natalia Cañón Betancourt11"/>
    <x v="0"/>
    <x v="2"/>
    <s v="PQRS"/>
    <s v="Noviembre"/>
    <x v="5"/>
    <d v="2025-11-11T00:00:00"/>
    <x v="13"/>
    <n v="1000383417"/>
    <s v="2025-ER-0509817"/>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Natalia Cañón Betancourt12"/>
    <x v="0"/>
    <x v="2"/>
    <s v="PQRS"/>
    <s v="Noviembre"/>
    <x v="5"/>
    <d v="2025-11-11T00:00:00"/>
    <x v="13"/>
    <n v="1000383417"/>
    <s v="2025-ER-0509875"/>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Quira Alejandra Herrera Camelo6"/>
    <x v="0"/>
    <x v="3"/>
    <s v="PQRS"/>
    <s v="Noviembre"/>
    <x v="5"/>
    <d v="2025-11-11T00:00:00"/>
    <x v="14"/>
    <n v="1010214168"/>
    <s v="2025-ER-0515013"/>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Valentina Castillo Rondón6"/>
    <x v="0"/>
    <x v="1"/>
    <s v="PQRS"/>
    <s v="Noviembre"/>
    <x v="5"/>
    <d v="2025-11-11T00:00:00"/>
    <x v="15"/>
    <n v="1121950095"/>
    <s v="2025-ER-0495511 "/>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Valentina Castillo Rondón7"/>
    <x v="0"/>
    <x v="1"/>
    <s v="PQRS"/>
    <s v="Noviembre"/>
    <x v="5"/>
    <d v="2025-11-11T00:00:00"/>
    <x v="15"/>
    <n v="1121950095"/>
    <s v="2025-ER-0498412"/>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Yenny Maribel Duran Ovejero7"/>
    <x v="0"/>
    <x v="1"/>
    <s v="PQRS"/>
    <s v="Noviembre"/>
    <x v="5"/>
    <d v="2025-11-11T00:00:00"/>
    <x v="16"/>
    <n v="52962387"/>
    <s v="2025-ER-0503939 "/>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Yenny Maribel Duran Ovejero8"/>
    <x v="0"/>
    <x v="1"/>
    <s v="PQRS"/>
    <s v="Noviembre"/>
    <x v="5"/>
    <d v="2025-11-11T00:00:00"/>
    <x v="16"/>
    <n v="52962387"/>
    <s v="2025-ER-0506880"/>
    <s v="SI"/>
    <s v="SI"/>
    <s v="SI"/>
    <s v="SI"/>
    <n v="1"/>
    <s v="SI"/>
    <s v="SI"/>
    <s v="SI"/>
    <s v="SI"/>
    <n v="1"/>
    <s v="SI"/>
    <s v="SI"/>
    <s v="SI"/>
    <s v="SI"/>
    <s v="SI"/>
    <s v="SI"/>
    <n v="1.000000000000002"/>
    <s v="SI"/>
    <s v="SI"/>
    <n v="1"/>
    <x v="0"/>
    <n v="0"/>
    <n v="0"/>
    <n v="0"/>
    <n v="0"/>
    <n v="0"/>
    <s v="Monitoreo de Calidad – 12/10/2025 (Gestión del 1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8"/>
    <s v="Ana Graciela Barbosa Villalobos19"/>
    <x v="0"/>
    <x v="0"/>
    <s v="PQRS"/>
    <s v="Noviembre"/>
    <x v="6"/>
    <d v="2025-11-12T00:00:00"/>
    <x v="0"/>
    <n v="1026264261"/>
    <s v="CS-25-192892"/>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9"/>
    <s v="Ana Graciela Barbosa Villalobos20"/>
    <x v="0"/>
    <x v="0"/>
    <s v="PQRS"/>
    <s v="Noviembre"/>
    <x v="6"/>
    <d v="2025-11-12T00:00:00"/>
    <x v="0"/>
    <n v="1026264261"/>
    <s v="CS-25-192958"/>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0"/>
    <s v="Ana Graciela Barbosa Villalobos21"/>
    <x v="0"/>
    <x v="0"/>
    <s v="PQRS"/>
    <s v="Noviembre"/>
    <x v="6"/>
    <d v="2025-11-12T00:00:00"/>
    <x v="0"/>
    <n v="1026264261"/>
    <s v="CS-25-192970"/>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Cesar Rodrigo García7"/>
    <x v="0"/>
    <x v="1"/>
    <s v="PQRS"/>
    <s v="Noviembre"/>
    <x v="6"/>
    <d v="2025-11-12T00:00:00"/>
    <x v="1"/>
    <n v="1069257937"/>
    <s v="2025-ER-0509308"/>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Cristian Enrique Benitez Rodriguez7"/>
    <x v="0"/>
    <x v="1"/>
    <s v="PQRS"/>
    <s v="Noviembre"/>
    <x v="6"/>
    <d v="2025-11-12T00:00:00"/>
    <x v="2"/>
    <n v="1026574814"/>
    <s v="2025-ER-0489580"/>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3"/>
    <s v="Daniela Murillo Solano4"/>
    <x v="0"/>
    <x v="4"/>
    <s v="PQRS"/>
    <s v="Noviembre"/>
    <x v="6"/>
    <d v="2025-11-12T00:00:00"/>
    <x v="18"/>
    <n v="1234194276"/>
    <s v="2025-ER-0515934"/>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8"/>
    <s v="Erika Natalia Ramírez Herrera19"/>
    <x v="0"/>
    <x v="2"/>
    <s v="PQRS"/>
    <s v="Noviembre"/>
    <x v="6"/>
    <d v="2025-11-12T00:00:00"/>
    <x v="3"/>
    <n v="1032367072"/>
    <s v="2025-ER-0515231"/>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9"/>
    <s v="Erika Natalia Ramírez Herrera20"/>
    <x v="0"/>
    <x v="2"/>
    <s v="PQRS"/>
    <s v="Noviembre"/>
    <x v="6"/>
    <d v="2025-11-12T00:00:00"/>
    <x v="3"/>
    <n v="1032367072"/>
    <s v="2025-ER-0518414"/>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0"/>
    <s v="Erika Natalia Ramírez Herrera21"/>
    <x v="0"/>
    <x v="2"/>
    <s v="PQRS"/>
    <s v="Noviembre"/>
    <x v="6"/>
    <d v="2025-11-12T00:00:00"/>
    <x v="3"/>
    <n v="1032367072"/>
    <s v="2025-ER-0489352"/>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Henry Eduardo Padilla Castilla8"/>
    <x v="0"/>
    <x v="1"/>
    <s v="PQRS"/>
    <s v="Noviembre"/>
    <x v="6"/>
    <d v="2025-11-12T00:00:00"/>
    <x v="4"/>
    <n v="1063968280"/>
    <s v="2025-ER-0515313"/>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Ingrid Carolina Monsalve Quintero13"/>
    <x v="0"/>
    <x v="2"/>
    <s v="PQRS"/>
    <s v="Noviembre"/>
    <x v="6"/>
    <d v="2025-11-12T00:00:00"/>
    <x v="5"/>
    <n v="52805909"/>
    <s v="2025-ER-0512917"/>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Ingrid Carolina Monsalve Quintero14"/>
    <x v="0"/>
    <x v="2"/>
    <s v="PQRS"/>
    <s v="Noviembre"/>
    <x v="6"/>
    <d v="2025-11-12T00:00:00"/>
    <x v="5"/>
    <n v="52805909"/>
    <s v="2025-ER-0515320"/>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5"/>
    <s v="Jesus David Hernandez Fernandez de Castro6"/>
    <x v="0"/>
    <x v="3"/>
    <s v="PQRS"/>
    <s v="Noviembre"/>
    <x v="6"/>
    <d v="2025-11-12T00:00:00"/>
    <x v="6"/>
    <n v="1083038013"/>
    <s v="2025-ER-0505510"/>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1"/>
    <s v="Juan Jose Santoya Medina12"/>
    <x v="0"/>
    <x v="1"/>
    <s v="PQRS"/>
    <s v="Noviembre"/>
    <x v="6"/>
    <d v="2025-11-12T00:00:00"/>
    <x v="7"/>
    <n v="1053345183"/>
    <s v="2025-ER-0498436 "/>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Juan Jose Santoya Medina13"/>
    <x v="0"/>
    <x v="1"/>
    <s v="PQRS"/>
    <s v="Noviembre"/>
    <x v="6"/>
    <d v="2025-11-12T00:00:00"/>
    <x v="7"/>
    <n v="1053345183"/>
    <s v="2025-ER-0494518"/>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Juan Sebastián Suárez Morales9"/>
    <x v="0"/>
    <x v="1"/>
    <s v="PQRS"/>
    <s v="Noviembre"/>
    <x v="6"/>
    <d v="2025-11-12T00:00:00"/>
    <x v="8"/>
    <n v="1030541070"/>
    <s v="2025-ER-0383227"/>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Laura Juliana Rueda Durán7"/>
    <x v="0"/>
    <x v="1"/>
    <s v="PQRS"/>
    <s v="Noviembre"/>
    <x v="6"/>
    <d v="2025-11-12T00:00:00"/>
    <x v="9"/>
    <n v="1026291591"/>
    <s v="2025-ER-0332444"/>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Laura Ximena Sandoval Galindo7"/>
    <x v="0"/>
    <x v="3"/>
    <s v="Correo"/>
    <s v="Noviembre"/>
    <x v="6"/>
    <d v="2025-11-12T00:00:00"/>
    <x v="10"/>
    <n v="1030678660"/>
    <s v="SOL989662"/>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Maira Alejandra Rodriguez Losada13"/>
    <x v="0"/>
    <x v="2"/>
    <s v="PQRS"/>
    <s v="Noviembre"/>
    <x v="6"/>
    <d v="2025-11-12T00:00:00"/>
    <x v="11"/>
    <n v="1075224344"/>
    <s v="2025-ER-0514247"/>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Maira Alejandra Rodriguez Losada14"/>
    <x v="0"/>
    <x v="2"/>
    <s v="PQRS"/>
    <s v="Noviembre"/>
    <x v="6"/>
    <d v="2025-11-12T00:00:00"/>
    <x v="11"/>
    <n v="1075224344"/>
    <s v="2025-ER-0514268"/>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María José Uribe Medina13"/>
    <x v="0"/>
    <x v="2"/>
    <s v="PQRS"/>
    <s v="Noviembre"/>
    <x v="6"/>
    <d v="2025-11-12T00:00:00"/>
    <x v="12"/>
    <n v="1121919150"/>
    <s v="2025-ER-0512755"/>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María José Uribe Medina14"/>
    <x v="0"/>
    <x v="2"/>
    <s v="PQRS"/>
    <s v="Noviembre"/>
    <x v="6"/>
    <d v="2025-11-12T00:00:00"/>
    <x v="12"/>
    <n v="1121919150"/>
    <s v="2025-ER-0512057"/>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2"/>
    <s v="Natalia Cañón Betancourt13"/>
    <x v="0"/>
    <x v="2"/>
    <s v="PQRS"/>
    <s v="Noviembre"/>
    <x v="6"/>
    <d v="2025-11-12T00:00:00"/>
    <x v="13"/>
    <n v="1000383417"/>
    <s v="2025-ER-0511928"/>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Natalia Cañón Betancourt14"/>
    <x v="0"/>
    <x v="2"/>
    <s v="PQRS"/>
    <s v="Noviembre"/>
    <x v="6"/>
    <d v="2025-11-12T00:00:00"/>
    <x v="13"/>
    <n v="1000383417"/>
    <s v="2025-ER-0504774"/>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Quira Alejandra Herrera Camelo7"/>
    <x v="0"/>
    <x v="3"/>
    <s v="PQRS"/>
    <s v="Noviembre"/>
    <x v="6"/>
    <d v="2025-11-12T00:00:00"/>
    <x v="14"/>
    <n v="1010214168"/>
    <s v="2025-ER-0505936"/>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Valentina Castillo Rondón8"/>
    <x v="0"/>
    <x v="1"/>
    <s v="PQRS"/>
    <s v="Noviembre"/>
    <x v="6"/>
    <d v="2025-11-12T00:00:00"/>
    <x v="15"/>
    <n v="1121950095"/>
    <s v="2025-ER-0456264"/>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Yenny Maribel Duran Ovejero9"/>
    <x v="0"/>
    <x v="1"/>
    <s v="PQRS"/>
    <s v="Noviembre"/>
    <x v="6"/>
    <d v="2025-11-12T00:00:00"/>
    <x v="16"/>
    <n v="52962387"/>
    <s v="2025-ER-0511768 "/>
    <s v="SI"/>
    <s v="SI"/>
    <s v="SI"/>
    <s v="SI"/>
    <n v="1"/>
    <s v="SI"/>
    <s v="SI"/>
    <s v="SI"/>
    <s v="SI"/>
    <n v="1"/>
    <s v="SI"/>
    <s v="SI"/>
    <s v="SI"/>
    <s v="SI"/>
    <s v="SI"/>
    <s v="SI"/>
    <n v="1.000000000000002"/>
    <s v="SI"/>
    <s v="SI"/>
    <n v="1"/>
    <x v="0"/>
    <n v="0"/>
    <n v="0"/>
    <n v="0"/>
    <n v="0"/>
    <n v="0"/>
    <s v="Monitoreo de Calidad – 13/10/2025 (Gestión del 12/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1"/>
    <s v="Ana Graciela Barbosa Villalobos22"/>
    <x v="0"/>
    <x v="0"/>
    <s v="PQRS"/>
    <s v="Noviembre"/>
    <x v="7"/>
    <d v="2025-11-13T00:00:00"/>
    <x v="0"/>
    <n v="1026264261"/>
    <s v="CS-25-192978"/>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2"/>
    <s v="Ana Graciela Barbosa Villalobos23"/>
    <x v="0"/>
    <x v="0"/>
    <s v="PQRS"/>
    <s v="Noviembre"/>
    <x v="7"/>
    <d v="2025-11-13T00:00:00"/>
    <x v="0"/>
    <n v="1026264261"/>
    <s v="CS-25-193091"/>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3"/>
    <s v="Ana Graciela Barbosa Villalobos24"/>
    <x v="0"/>
    <x v="0"/>
    <s v="PQRS"/>
    <s v="Noviembre"/>
    <x v="7"/>
    <d v="2025-11-13T00:00:00"/>
    <x v="0"/>
    <n v="1026264261"/>
    <s v="CS-25-193137"/>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4"/>
    <s v="Andrés Felipe Silva Martínez5"/>
    <x v="0"/>
    <x v="3"/>
    <s v="PQRS"/>
    <s v="Noviembre"/>
    <x v="7"/>
    <d v="2025-11-13T00:00:00"/>
    <x v="17"/>
    <n v="1120362660"/>
    <s v="2025-ER-0501235"/>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Cesar Rodrigo García8"/>
    <x v="0"/>
    <x v="1"/>
    <s v="PQRS"/>
    <s v="Noviembre"/>
    <x v="7"/>
    <d v="2025-11-13T00:00:00"/>
    <x v="1"/>
    <n v="1069257937"/>
    <s v="2025-ER-0509308"/>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Cesar Rodrigo García9"/>
    <x v="0"/>
    <x v="1"/>
    <s v="PQRS"/>
    <s v="Noviembre"/>
    <x v="7"/>
    <d v="2025-11-13T00:00:00"/>
    <x v="1"/>
    <n v="1069257937"/>
    <s v="2025-ER-0509706"/>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Cristian Enrique Benitez Rodriguez8"/>
    <x v="0"/>
    <x v="1"/>
    <s v="PQRS"/>
    <s v="Noviembre"/>
    <x v="7"/>
    <d v="2025-11-13T00:00:00"/>
    <x v="2"/>
    <n v="1026574814"/>
    <s v="2025-ER-0239466"/>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1"/>
    <s v="Erika Natalia Ramírez Herrera22"/>
    <x v="0"/>
    <x v="2"/>
    <s v="PQRS"/>
    <s v="Noviembre"/>
    <x v="7"/>
    <d v="2025-11-13T00:00:00"/>
    <x v="3"/>
    <n v="1032367072"/>
    <s v="2025-ER-0519931"/>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2"/>
    <s v="Erika Natalia Ramírez Herrera23"/>
    <x v="0"/>
    <x v="2"/>
    <s v="PQRS"/>
    <s v="Noviembre"/>
    <x v="7"/>
    <d v="2025-11-13T00:00:00"/>
    <x v="3"/>
    <n v="1032367072"/>
    <s v="2025-ER-0521070"/>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3"/>
    <s v="Erika Natalia Ramírez Herrera24"/>
    <x v="0"/>
    <x v="2"/>
    <s v="PQRS"/>
    <s v="Noviembre"/>
    <x v="7"/>
    <d v="2025-11-13T00:00:00"/>
    <x v="3"/>
    <n v="1032367072"/>
    <s v="2025-ER-0470603"/>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Henry Eduardo Padilla Castilla9"/>
    <x v="0"/>
    <x v="1"/>
    <s v="PQRS"/>
    <s v="Noviembre"/>
    <x v="7"/>
    <d v="2025-11-13T00:00:00"/>
    <x v="4"/>
    <n v="1063968280"/>
    <s v="2025-ER-0415076"/>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Ingrid Carolina Monsalve Quintero15"/>
    <x v="0"/>
    <x v="2"/>
    <s v="PQRS"/>
    <s v="Noviembre"/>
    <x v="7"/>
    <d v="2025-11-13T00:00:00"/>
    <x v="5"/>
    <n v="52805909"/>
    <s v="2025-ER-0517040"/>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Ingrid Carolina Monsalve Quintero16"/>
    <x v="0"/>
    <x v="2"/>
    <s v="PQRS"/>
    <s v="Noviembre"/>
    <x v="7"/>
    <d v="2025-11-13T00:00:00"/>
    <x v="5"/>
    <n v="52805909"/>
    <s v="2025-ER-0518052"/>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6"/>
    <s v="Jesus David Hernandez Fernandez de Castro7"/>
    <x v="0"/>
    <x v="3"/>
    <s v="PQRS"/>
    <s v="Noviembre"/>
    <x v="7"/>
    <d v="2025-11-13T00:00:00"/>
    <x v="6"/>
    <n v="1083038013"/>
    <s v="2025-ER-0490144"/>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3"/>
    <s v="Juan Jose Santoya Medina14"/>
    <x v="0"/>
    <x v="1"/>
    <s v="PQRS"/>
    <s v="Noviembre"/>
    <x v="7"/>
    <d v="2025-11-13T00:00:00"/>
    <x v="7"/>
    <n v="1053345183"/>
    <s v="2025-ER-0505611"/>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Juan Jose Santoya Medina15"/>
    <x v="0"/>
    <x v="1"/>
    <s v="PQRS"/>
    <s v="Noviembre"/>
    <x v="7"/>
    <d v="2025-11-13T00:00:00"/>
    <x v="7"/>
    <n v="1053345183"/>
    <s v="2025-ER-0498415"/>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Juan Sebastián Suárez Morales10"/>
    <x v="0"/>
    <x v="1"/>
    <s v="PQRS"/>
    <s v="Noviembre"/>
    <x v="7"/>
    <d v="2025-11-13T00:00:00"/>
    <x v="8"/>
    <n v="1030541070"/>
    <s v="2025-ER-0505523"/>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Laura Juliana Rueda Durán8"/>
    <x v="0"/>
    <x v="1"/>
    <s v="PQRS"/>
    <s v="Noviembre"/>
    <x v="7"/>
    <d v="2025-11-13T00:00:00"/>
    <x v="9"/>
    <n v="1026291591"/>
    <s v="2025-ER-0512142"/>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Laura Ximena Sandoval Galindo8"/>
    <x v="0"/>
    <x v="3"/>
    <s v="PQRS"/>
    <s v="Noviembre"/>
    <x v="7"/>
    <d v="2025-11-13T00:00:00"/>
    <x v="10"/>
    <n v="1030678660"/>
    <s v="2025-ER-0493282"/>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Maira Alejandra Rodriguez Losada15"/>
    <x v="0"/>
    <x v="2"/>
    <s v="PQRS"/>
    <s v="Noviembre"/>
    <x v="7"/>
    <d v="2025-11-13T00:00:00"/>
    <x v="11"/>
    <n v="1075224344"/>
    <s v="2025-ER-0502747"/>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Maira Alejandra Rodriguez Losada16"/>
    <x v="0"/>
    <x v="2"/>
    <s v="PQRS"/>
    <s v="Noviembre"/>
    <x v="7"/>
    <d v="2025-11-13T00:00:00"/>
    <x v="11"/>
    <n v="1075224344"/>
    <s v="2025-ER-0519851"/>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María José Uribe Medina15"/>
    <x v="0"/>
    <x v="2"/>
    <s v="PQRS"/>
    <s v="Noviembre"/>
    <x v="7"/>
    <d v="2025-11-13T00:00:00"/>
    <x v="12"/>
    <n v="1121919150"/>
    <s v="2025-ER-0517116"/>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María José Uribe Medina16"/>
    <x v="0"/>
    <x v="2"/>
    <s v="PQRS"/>
    <s v="Noviembre"/>
    <x v="7"/>
    <d v="2025-11-13T00:00:00"/>
    <x v="12"/>
    <n v="1121919150"/>
    <s v="2025-ER-0518757"/>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4"/>
    <s v="Natalia Cañón Betancourt15"/>
    <x v="0"/>
    <x v="2"/>
    <s v="PQRS"/>
    <s v="Noviembre"/>
    <x v="7"/>
    <d v="2025-11-13T00:00:00"/>
    <x v="13"/>
    <n v="1000383417"/>
    <s v="2025-ER-0515464"/>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15"/>
    <s v="Natalia Cañón Betancourt16"/>
    <x v="0"/>
    <x v="2"/>
    <s v="PQRS"/>
    <s v="Noviembre"/>
    <x v="7"/>
    <d v="2025-11-13T00:00:00"/>
    <x v="13"/>
    <n v="1000383417"/>
    <s v="2025-ER-0504786"/>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7"/>
    <s v="Quira Alejandra Herrera Camelo8"/>
    <x v="0"/>
    <x v="3"/>
    <s v="PQRS"/>
    <s v="Noviembre"/>
    <x v="7"/>
    <d v="2025-11-13T00:00:00"/>
    <x v="14"/>
    <n v="1010214168"/>
    <s v="2025-ER-0511419"/>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8"/>
    <s v="Valentina Castillo Rondón9"/>
    <x v="0"/>
    <x v="1"/>
    <s v="PQRS"/>
    <s v="Noviembre"/>
    <x v="7"/>
    <d v="2025-11-13T00:00:00"/>
    <x v="15"/>
    <n v="1121950095"/>
    <s v="2025-ER-0500772"/>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9"/>
    <s v="Yenny Maribel Duran Ovejero10"/>
    <x v="0"/>
    <x v="1"/>
    <s v="PQRS"/>
    <s v="Noviembre"/>
    <x v="7"/>
    <d v="2025-11-13T00:00:00"/>
    <x v="16"/>
    <n v="52962387"/>
    <s v="2025-ER-0368322"/>
    <s v="SI"/>
    <s v="SI"/>
    <s v="SI"/>
    <s v="SI"/>
    <n v="1"/>
    <s v="SI"/>
    <s v="SI"/>
    <s v="SI"/>
    <s v="SI"/>
    <n v="1"/>
    <s v="SI"/>
    <s v="SI"/>
    <s v="SI"/>
    <s v="SI"/>
    <s v="SI"/>
    <s v="SI"/>
    <n v="1.000000000000002"/>
    <s v="SI"/>
    <s v="SI"/>
    <n v="1"/>
    <x v="0"/>
    <n v="0"/>
    <n v="0"/>
    <n v="0"/>
    <n v="0"/>
    <n v="0"/>
    <s v="Monitoreo de Calidad – 14/10/2025 (Gestión del 13/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1"/>
  </r>
  <r>
    <s v="Ministerio de Educación Nacional"/>
    <x v="24"/>
    <s v="Ana Graciela Barbosa Villalobos25"/>
    <x v="0"/>
    <x v="0"/>
    <s v="PQRS"/>
    <s v="Noviembre"/>
    <x v="8"/>
    <d v="2025-11-14T00:00:00"/>
    <x v="0"/>
    <n v="1026264261"/>
    <s v="CS-25-193215"/>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Ana Graciela Barbosa Villalobos26"/>
    <x v="0"/>
    <x v="0"/>
    <s v="PQRS"/>
    <s v="Noviembre"/>
    <x v="8"/>
    <d v="2025-11-14T00:00:00"/>
    <x v="0"/>
    <n v="1026264261"/>
    <s v="CS-25-193246"/>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5"/>
    <s v="Andrés Felipe Silva Martínez6"/>
    <x v="0"/>
    <x v="3"/>
    <s v="PQRS"/>
    <s v="Noviembre"/>
    <x v="8"/>
    <d v="2025-11-14T00:00:00"/>
    <x v="17"/>
    <n v="1120362660"/>
    <s v="2025-ER-0511376"/>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Cesar Rodrigo García10"/>
    <x v="0"/>
    <x v="1"/>
    <s v="PQRS"/>
    <s v="Noviembre"/>
    <x v="8"/>
    <d v="2025-11-14T00:00:00"/>
    <x v="1"/>
    <n v="1069257937"/>
    <s v="2025-ER-0520665"/>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Cristian Enrique Benitez Rodriguez9"/>
    <x v="0"/>
    <x v="1"/>
    <s v="PQRS"/>
    <s v="Noviembre"/>
    <x v="8"/>
    <d v="2025-11-14T00:00:00"/>
    <x v="2"/>
    <n v="1026574814"/>
    <s v="2025-ER-0496753"/>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4"/>
    <s v="Daniela Murillo Solano5"/>
    <x v="0"/>
    <x v="4"/>
    <s v="PQRS"/>
    <s v="Noviembre"/>
    <x v="8"/>
    <d v="2025-11-14T00:00:00"/>
    <x v="18"/>
    <n v="1234194276"/>
    <s v="2025-ER-0504832"/>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Erika Natalia Ramírez Herrera25"/>
    <x v="0"/>
    <x v="2"/>
    <s v="PQRS"/>
    <s v="Noviembre"/>
    <x v="8"/>
    <d v="2025-11-14T00:00:00"/>
    <x v="3"/>
    <n v="1032367072"/>
    <s v="2025-ER-0501527"/>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Erika Natalia Ramírez Herrera26"/>
    <x v="0"/>
    <x v="2"/>
    <s v="PQRS"/>
    <s v="Noviembre"/>
    <x v="8"/>
    <d v="2025-11-14T00:00:00"/>
    <x v="3"/>
    <n v="1032367072"/>
    <s v="2025-ER-0469145"/>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6"/>
    <s v="Erika Natalia Ramírez Herrera27"/>
    <x v="0"/>
    <x v="2"/>
    <s v="PQRS"/>
    <s v="Noviembre"/>
    <x v="8"/>
    <d v="2025-11-14T00:00:00"/>
    <x v="3"/>
    <n v="1032367072"/>
    <s v="2025-ER-0486687"/>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Henry Eduardo Padilla Castilla10"/>
    <x v="0"/>
    <x v="1"/>
    <s v="PQRS"/>
    <s v="Noviembre"/>
    <x v="8"/>
    <d v="2025-11-14T00:00:00"/>
    <x v="4"/>
    <n v="1063968280"/>
    <s v="2025-ER-0503145"/>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Ingrid Carolina Monsalve Quintero17"/>
    <x v="0"/>
    <x v="2"/>
    <s v="PQRS"/>
    <s v="Noviembre"/>
    <x v="8"/>
    <d v="2025-11-14T00:00:00"/>
    <x v="5"/>
    <n v="52805909"/>
    <s v="2025-ER-0521362"/>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Ingrid Carolina Monsalve Quintero18"/>
    <x v="0"/>
    <x v="2"/>
    <s v="PQRS"/>
    <s v="Noviembre"/>
    <x v="8"/>
    <d v="2025-11-14T00:00:00"/>
    <x v="5"/>
    <n v="52805909"/>
    <s v="2025-ER-0520301"/>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7"/>
    <s v="Jesus David Hernandez Fernandez de Castro8"/>
    <x v="0"/>
    <x v="3"/>
    <s v="PQRS"/>
    <s v="Noviembre"/>
    <x v="8"/>
    <d v="2025-11-14T00:00:00"/>
    <x v="6"/>
    <n v="1083038013"/>
    <s v="2025-ER-0449484"/>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5"/>
    <s v="Juan Jose Santoya Medina16"/>
    <x v="0"/>
    <x v="1"/>
    <s v="PQRS"/>
    <s v="Noviembre"/>
    <x v="8"/>
    <d v="2025-11-14T00:00:00"/>
    <x v="7"/>
    <n v="1053345183"/>
    <s v="2025-ER-0511378 "/>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Juan Jose Santoya Medina17"/>
    <x v="0"/>
    <x v="1"/>
    <s v="PQRS"/>
    <s v="Noviembre"/>
    <x v="8"/>
    <d v="2025-11-14T00:00:00"/>
    <x v="7"/>
    <n v="1053345183"/>
    <s v="2025-IE-035879"/>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Juan Sebastián Suárez Morales11"/>
    <x v="0"/>
    <x v="1"/>
    <s v="PQRS"/>
    <s v="Noviembre"/>
    <x v="8"/>
    <d v="2025-11-14T00:00:00"/>
    <x v="8"/>
    <n v="1030541070"/>
    <s v="2025-ER-0512667"/>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Laura Juliana Rueda Durán9"/>
    <x v="0"/>
    <x v="1"/>
    <s v="PQRS"/>
    <s v="Noviembre"/>
    <x v="8"/>
    <d v="2025-11-14T00:00:00"/>
    <x v="9"/>
    <n v="1026291591"/>
    <s v="2025-ER-0520578"/>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Laura Ximena Sandoval Galindo9"/>
    <x v="0"/>
    <x v="3"/>
    <s v="Correo"/>
    <s v="Noviembre"/>
    <x v="8"/>
    <d v="2025-11-14T00:00:00"/>
    <x v="10"/>
    <n v="1030678660"/>
    <s v="SOL991142"/>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Maira Alejandra Rodriguez Losada17"/>
    <x v="0"/>
    <x v="2"/>
    <s v="PQRS"/>
    <s v="Noviembre"/>
    <x v="8"/>
    <d v="2025-11-14T00:00:00"/>
    <x v="11"/>
    <n v="1075224344"/>
    <s v="2025-ER-0502269"/>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Maira Alejandra Rodriguez Losada18"/>
    <x v="0"/>
    <x v="2"/>
    <s v="PQRS"/>
    <s v="Noviembre"/>
    <x v="8"/>
    <d v="2025-11-14T00:00:00"/>
    <x v="11"/>
    <n v="1075224344"/>
    <s v="2025-ER-0517313"/>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María José Uribe Medina17"/>
    <x v="0"/>
    <x v="2"/>
    <s v="PQRS"/>
    <s v="Noviembre"/>
    <x v="8"/>
    <d v="2025-11-14T00:00:00"/>
    <x v="12"/>
    <n v="1121919150"/>
    <s v="2025-ER-0522614"/>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María José Uribe Medina18"/>
    <x v="0"/>
    <x v="2"/>
    <s v="PQRS"/>
    <s v="Noviembre"/>
    <x v="8"/>
    <d v="2025-11-14T00:00:00"/>
    <x v="12"/>
    <n v="1121919150"/>
    <s v="2025-ER-0521878"/>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6"/>
    <s v="Natalia Cañón Betancourt17"/>
    <x v="0"/>
    <x v="2"/>
    <s v="PQRS"/>
    <s v="Noviembre"/>
    <x v="8"/>
    <d v="2025-11-14T00:00:00"/>
    <x v="13"/>
    <n v="1000383417"/>
    <s v="2025-ER-0519022"/>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7"/>
    <s v="Natalia Cañón Betancourt18"/>
    <x v="0"/>
    <x v="2"/>
    <s v="PQRS"/>
    <s v="Noviembre"/>
    <x v="8"/>
    <d v="2025-11-14T00:00:00"/>
    <x v="13"/>
    <n v="1000383417"/>
    <s v="2025-ER-0520592"/>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Quira Alejandra Herrera Camelo9"/>
    <x v="0"/>
    <x v="3"/>
    <s v="PQRS"/>
    <s v="Noviembre"/>
    <x v="8"/>
    <d v="2025-11-14T00:00:00"/>
    <x v="14"/>
    <n v="1010214168"/>
    <s v="2025-ER-0521704"/>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Valentina Castillo Rondón10"/>
    <x v="0"/>
    <x v="1"/>
    <s v="PQRS"/>
    <s v="Noviembre"/>
    <x v="8"/>
    <d v="2025-11-14T00:00:00"/>
    <x v="15"/>
    <n v="1121950095"/>
    <s v="2025-ER-0502503"/>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Yenny Maribel Duran Ovejero11"/>
    <x v="0"/>
    <x v="1"/>
    <s v="PQRS"/>
    <s v="Noviembre"/>
    <x v="8"/>
    <d v="2025-11-14T00:00:00"/>
    <x v="16"/>
    <n v="52962387"/>
    <s v="2025-ER-0448682"/>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Yenny Maribel Duran Ovejero12"/>
    <x v="0"/>
    <x v="1"/>
    <s v="PQRS"/>
    <s v="Noviembre"/>
    <x v="8"/>
    <d v="2025-11-14T00:00:00"/>
    <x v="16"/>
    <n v="52962387"/>
    <s v="2025-ER-0450138 "/>
    <s v="SI"/>
    <s v="SI"/>
    <s v="SI"/>
    <s v="SI"/>
    <n v="1"/>
    <s v="SI"/>
    <s v="SI"/>
    <s v="SI"/>
    <s v="SI"/>
    <n v="1"/>
    <s v="SI"/>
    <s v="SI"/>
    <s v="SI"/>
    <s v="SI"/>
    <s v="SI"/>
    <s v="SI"/>
    <n v="1.000000000000002"/>
    <s v="SI"/>
    <s v="SI"/>
    <n v="1"/>
    <x v="0"/>
    <n v="0"/>
    <n v="0"/>
    <n v="0"/>
    <n v="0"/>
    <n v="0"/>
    <s v="Monitoreo de Calidad – 18/10/2025 (Gestión del 1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6"/>
    <s v="Ana Graciela Barbosa Villalobos27"/>
    <x v="0"/>
    <x v="0"/>
    <s v="PQRS"/>
    <s v="Noviembre"/>
    <x v="9"/>
    <d v="2025-11-18T00:00:00"/>
    <x v="0"/>
    <n v="1026264261"/>
    <s v="CS-25-193383"/>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7"/>
    <s v="Ana Graciela Barbosa Villalobos28"/>
    <x v="0"/>
    <x v="0"/>
    <s v="PQRS"/>
    <s v="Noviembre"/>
    <x v="9"/>
    <d v="2025-11-18T00:00:00"/>
    <x v="0"/>
    <n v="1026264261"/>
    <s v="CS-25-193427"/>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8"/>
    <s v="Ana Graciela Barbosa Villalobos29"/>
    <x v="0"/>
    <x v="0"/>
    <s v="PQRS"/>
    <s v="Noviembre"/>
    <x v="9"/>
    <d v="2025-11-18T00:00:00"/>
    <x v="0"/>
    <n v="1026264261"/>
    <s v="CS-25-193469"/>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6"/>
    <s v="Andrés Felipe Silva Martínez7"/>
    <x v="0"/>
    <x v="3"/>
    <s v="PQRS"/>
    <s v="Noviembre"/>
    <x v="9"/>
    <d v="2025-11-18T00:00:00"/>
    <x v="17"/>
    <n v="1120362660"/>
    <s v="2025-ER-0487876"/>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Cesar Rodrigo García11"/>
    <x v="0"/>
    <x v="1"/>
    <s v="PQRS"/>
    <s v="Noviembre"/>
    <x v="9"/>
    <d v="2025-11-18T00:00:00"/>
    <x v="1"/>
    <n v="1069257937"/>
    <s v="2025-ER-0509569"/>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Cristian Enrique Benitez Rodriguez10"/>
    <x v="0"/>
    <x v="1"/>
    <s v="PQRS"/>
    <s v="Noviembre"/>
    <x v="9"/>
    <d v="2025-11-18T00:00:00"/>
    <x v="2"/>
    <n v="1026574814"/>
    <s v="2025-ER-0507417"/>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5"/>
    <s v="Daniela Murillo Solano6"/>
    <x v="0"/>
    <x v="4"/>
    <s v="PQRS"/>
    <s v="Noviembre"/>
    <x v="9"/>
    <d v="2025-11-18T00:00:00"/>
    <x v="18"/>
    <n v="1234194276"/>
    <s v="2025-ER-0447143"/>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7"/>
    <s v="Erika Natalia Ramírez Herrera28"/>
    <x v="0"/>
    <x v="2"/>
    <s v="PQRS"/>
    <s v="Noviembre"/>
    <x v="9"/>
    <d v="2025-11-18T00:00:00"/>
    <x v="3"/>
    <n v="1032367072"/>
    <s v="2025-ER-0500856"/>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8"/>
    <s v="Erika Natalia Ramírez Herrera29"/>
    <x v="0"/>
    <x v="2"/>
    <s v="PQRS"/>
    <s v="Noviembre"/>
    <x v="9"/>
    <d v="2025-11-18T00:00:00"/>
    <x v="3"/>
    <n v="1032367072"/>
    <s v="2025-ER-0524329"/>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9"/>
    <s v="Erika Natalia Ramírez Herrera30"/>
    <x v="0"/>
    <x v="2"/>
    <s v="PQRS"/>
    <s v="Noviembre"/>
    <x v="9"/>
    <d v="2025-11-18T00:00:00"/>
    <x v="3"/>
    <n v="1032367072"/>
    <s v="2025-ER-0479933"/>
    <s v="NO"/>
    <s v="NO"/>
    <s v="SI"/>
    <s v="SI"/>
    <n v="0.5"/>
    <s v="SI"/>
    <s v="SI"/>
    <s v="SI"/>
    <s v="SI"/>
    <n v="1"/>
    <s v="SI"/>
    <s v="SI"/>
    <s v="SI"/>
    <s v="SI"/>
    <s v="SI"/>
    <s v="SI"/>
    <n v="1.000000000000002"/>
    <s v="SI"/>
    <s v="SI"/>
    <n v="1"/>
    <x v="2"/>
    <n v="0"/>
    <n v="2"/>
    <n v="0"/>
    <n v="0"/>
    <n v="0"/>
    <s v="Monitoreo de Calidad – 19/10/2025 (Gestión del 18/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que la respuesta enviada al ciudadano presenta oportunidades de mejora en la redacción._x000a_Principalmente, se observa que la forma en que se estructuran las respuestas no facilita una comunicación clara ni un orden lógico. Además, no se hace referencia de manera sencilla a la petición planteada en cada una de las preguntas. _x000a_Recomendaciones para fortalecer la calidad:_x000a_Redactar las respuestas con una estructura lógica y coherente._x000a_Referirse de forma clara y directa a cada solicitud realizada._x000a_Incorporar un tono empático que proyecte seguridad y cohesión en el mensaje._x000a_Estas mejoras permitirán que la información sea más comprensible y alineada con nuestros estándares de calidad."/>
    <s v="Las respuestas no facilitan una comunicación clara ni un orden lógico, conforme a la petición"/>
    <s v="No valida la calidad del comunicado emitido antes de su revisión y aprobación"/>
    <s v="Asumo el compromiso de prestar especial cuidado al hacer referencia a la petición planteada en cada una de las solicitudes. Muchas gracias"/>
    <s v="Luisa Fernanda Benavides Castrillon"/>
    <x v="0"/>
    <s v="John Sebastian Roncancio Avendaño"/>
    <n v="0.95"/>
    <x v="2"/>
  </r>
  <r>
    <s v="Ministerio de Educación Nacional"/>
    <x v="10"/>
    <s v="Henry Eduardo Padilla Castilla11"/>
    <x v="0"/>
    <x v="1"/>
    <s v="PQRS"/>
    <s v="Noviembre"/>
    <x v="9"/>
    <d v="2025-11-18T00:00:00"/>
    <x v="4"/>
    <n v="1063968280"/>
    <s v="2025-ER-0506295"/>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Ingrid Carolina Monsalve Quintero19"/>
    <x v="0"/>
    <x v="2"/>
    <s v="PQRS"/>
    <s v="Noviembre"/>
    <x v="9"/>
    <d v="2025-11-18T00:00:00"/>
    <x v="5"/>
    <n v="52805909"/>
    <s v="2025-ER-0512606"/>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Ingrid Carolina Monsalve Quintero20"/>
    <x v="0"/>
    <x v="2"/>
    <s v="PQRS"/>
    <s v="Noviembre"/>
    <x v="9"/>
    <d v="2025-11-18T00:00:00"/>
    <x v="5"/>
    <n v="52805909"/>
    <s v="2025-ER-0522585"/>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Ingrid Carolina Monsalve Quintero21"/>
    <x v="0"/>
    <x v="2"/>
    <s v="PQRS"/>
    <s v="Noviembre"/>
    <x v="9"/>
    <d v="2025-11-18T00:00:00"/>
    <x v="5"/>
    <n v="52805909"/>
    <s v="2025-ER-0524831"/>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Jesus David Hernandez Fernandez de Castro9"/>
    <x v="0"/>
    <x v="3"/>
    <s v="PQRS"/>
    <s v="Noviembre"/>
    <x v="9"/>
    <d v="2025-11-18T00:00:00"/>
    <x v="6"/>
    <n v="1083038013"/>
    <s v="2025-ER-0493264"/>
    <s v="SI"/>
    <s v="SI"/>
    <s v="SI"/>
    <s v="SI"/>
    <n v="1"/>
    <s v="SI"/>
    <s v="SI"/>
    <s v="SI"/>
    <s v="NO"/>
    <n v="0.75"/>
    <s v="SI"/>
    <s v="SI"/>
    <s v="SI"/>
    <s v="SI"/>
    <s v="SI"/>
    <s v="SI"/>
    <n v="1.000000000000002"/>
    <s v="SI"/>
    <s v="SI"/>
    <n v="1"/>
    <x v="1"/>
    <n v="1"/>
    <n v="0"/>
    <n v="1"/>
    <n v="0"/>
    <n v="0"/>
    <s v="Monitoreo de Calidad – 19/10/2025 (Gestión del 18/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que la respuesta enviada al ciudadano presenta oportunidades de mejora en la redacción. Principalmente, se observa que omite el uso de las tildes en palabras como artículo y término, así como el uso de la coma (,), después de los adverbios (excepcionalmente, amablemente, etc.), cuando estos se refiere a toda la frase y no al verbo principal, con el objetivo de generar entonación y claridad en el mensaje emitido._x000a_Recomendaciones para fortalecer la calidad:_x000a_Para fortalecer la experiencia del ciudadano y garantizar una comunicación más efectiva, se recomienda:_x000a_Redactar las respuestas con una estructura lógica y coherente._x000a_Validar y corregir plantillas, y hacer uso de correctores ortográficos tales como: Word, Languagetool, Spellboy_x000a_Si el adverbio «excepcionalmente» o «amablemente»  se refiere a toda la frase, y no solo al verbo, es recomendable usar una coma (,)._x000a_Estas mejoras permitirán que la información sea más comprensible y alineada con nuestros estándares de calidad."/>
    <s v="Uso correcto de tildes y signos de puntuación"/>
    <s v="No valida la calidad del comunicado emitido antes de su revisión y aprobación"/>
    <s v="Gracias por las recomendaciones, se tendrán en cuenta para futuras respuestas. Cabe mencionar que todas las respuestas se toman de las plantillas establecidas y aprobadas directamente desde la subdirección. Estaré pendiente de errores ortográficos de estas plantillas para corregirlos. "/>
    <s v="Luisa Fernanda Benavides Castrillon"/>
    <x v="0"/>
    <s v="John Sebastian Roncancio Avendaño"/>
    <n v="0.95"/>
    <x v="2"/>
  </r>
  <r>
    <s v="Ministerio de Educación Nacional"/>
    <x v="17"/>
    <s v="Juan Jose Santoya Medina18"/>
    <x v="0"/>
    <x v="1"/>
    <s v="PQRS"/>
    <s v="Noviembre"/>
    <x v="9"/>
    <d v="2025-11-18T00:00:00"/>
    <x v="7"/>
    <n v="1053345183"/>
    <s v="2025-ER-0504145"/>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Juan Sebastián Suárez Morales12"/>
    <x v="0"/>
    <x v="1"/>
    <s v="PQRS"/>
    <s v="Noviembre"/>
    <x v="9"/>
    <d v="2025-11-18T00:00:00"/>
    <x v="8"/>
    <n v="1030541070"/>
    <s v="2025-ER-0511757"/>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Laura Juliana Rueda Durán10"/>
    <x v="0"/>
    <x v="1"/>
    <s v="PQRS"/>
    <s v="Noviembre"/>
    <x v="9"/>
    <d v="2025-11-18T00:00:00"/>
    <x v="9"/>
    <n v="1026291591"/>
    <s v="2025-ER-0513193"/>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Laura Ximena Sandoval Galindo10"/>
    <x v="0"/>
    <x v="3"/>
    <s v="PQRS"/>
    <s v="Noviembre"/>
    <x v="9"/>
    <d v="2025-11-18T00:00:00"/>
    <x v="10"/>
    <n v="1030678660"/>
    <s v="2025-ER-0509630"/>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Maira Alejandra Rodriguez Losada19"/>
    <x v="0"/>
    <x v="2"/>
    <s v="PQRS"/>
    <s v="Noviembre"/>
    <x v="9"/>
    <d v="2025-11-18T00:00:00"/>
    <x v="11"/>
    <n v="1075224344"/>
    <s v="2025-ER-0518733"/>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Maira Alejandra Rodriguez Losada20"/>
    <x v="0"/>
    <x v="2"/>
    <s v="PQRS"/>
    <s v="Noviembre"/>
    <x v="9"/>
    <d v="2025-11-18T00:00:00"/>
    <x v="11"/>
    <n v="1075224344"/>
    <s v="2025-ER-0519388"/>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María José Uribe Medina19"/>
    <x v="0"/>
    <x v="2"/>
    <s v="PQRS"/>
    <s v="Noviembre"/>
    <x v="9"/>
    <d v="2025-11-18T00:00:00"/>
    <x v="12"/>
    <n v="1121919150"/>
    <s v="2025-ER-0516920"/>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María José Uribe Medina20"/>
    <x v="0"/>
    <x v="2"/>
    <s v="PQRS"/>
    <s v="Noviembre"/>
    <x v="9"/>
    <d v="2025-11-18T00:00:00"/>
    <x v="12"/>
    <n v="1121919150"/>
    <s v="2025-ER-0519971"/>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8"/>
    <s v="Natalia Cañón Betancourt19"/>
    <x v="0"/>
    <x v="2"/>
    <s v="PQRS"/>
    <s v="Noviembre"/>
    <x v="9"/>
    <d v="2025-11-18T00:00:00"/>
    <x v="13"/>
    <n v="1000383417"/>
    <s v="2025-ER-0520744"/>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9"/>
    <s v="Natalia Cañón Betancourt20"/>
    <x v="0"/>
    <x v="2"/>
    <s v="PQRS"/>
    <s v="Noviembre"/>
    <x v="9"/>
    <d v="2025-11-18T00:00:00"/>
    <x v="13"/>
    <n v="1000383417"/>
    <s v="2025-ER-0522078"/>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Quira Alejandra Herrera Camelo10"/>
    <x v="0"/>
    <x v="3"/>
    <s v="PQRS"/>
    <s v="Noviembre"/>
    <x v="9"/>
    <d v="2025-11-18T00:00:00"/>
    <x v="14"/>
    <n v="1010214168"/>
    <s v="2025-ER-0491164"/>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Valentina Castillo Rondón11"/>
    <x v="0"/>
    <x v="1"/>
    <s v="PQRS"/>
    <s v="Noviembre"/>
    <x v="9"/>
    <d v="2025-11-18T00:00:00"/>
    <x v="15"/>
    <n v="1121950095"/>
    <s v="2025-ER-0505490"/>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Yenny Maribel Duran Ovejero13"/>
    <x v="0"/>
    <x v="1"/>
    <s v="PQRS"/>
    <s v="Noviembre"/>
    <x v="9"/>
    <d v="2025-11-18T00:00:00"/>
    <x v="16"/>
    <n v="52962387"/>
    <s v="2025-ER-0520295 "/>
    <s v="SI"/>
    <s v="SI"/>
    <s v="SI"/>
    <s v="SI"/>
    <n v="1"/>
    <s v="SI"/>
    <s v="SI"/>
    <s v="SI"/>
    <s v="SI"/>
    <n v="1"/>
    <s v="SI"/>
    <s v="SI"/>
    <s v="SI"/>
    <s v="SI"/>
    <s v="SI"/>
    <s v="SI"/>
    <n v="1.000000000000002"/>
    <s v="SI"/>
    <s v="SI"/>
    <n v="1"/>
    <x v="0"/>
    <n v="0"/>
    <n v="0"/>
    <n v="0"/>
    <n v="0"/>
    <n v="0"/>
    <s v="Monitoreo de Calidad – 19/10/2025 (Gestión del 18/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9"/>
    <s v="Ana Graciela Barbosa Villalobos30"/>
    <x v="0"/>
    <x v="0"/>
    <s v="PQRS"/>
    <s v="Noviembre"/>
    <x v="10"/>
    <d v="2025-11-19T00:00:00"/>
    <x v="0"/>
    <n v="1026264261"/>
    <s v="CS-25-193513"/>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0"/>
    <s v="Ana Graciela Barbosa Villalobos31"/>
    <x v="0"/>
    <x v="0"/>
    <s v="PQRS"/>
    <s v="Noviembre"/>
    <x v="10"/>
    <d v="2025-11-19T00:00:00"/>
    <x v="0"/>
    <n v="1026264261"/>
    <s v="CS-25-193537"/>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1"/>
    <s v="Ana Graciela Barbosa Villalobos32"/>
    <x v="0"/>
    <x v="0"/>
    <s v="PQRS"/>
    <s v="Noviembre"/>
    <x v="10"/>
    <d v="2025-11-19T00:00:00"/>
    <x v="0"/>
    <n v="1026264261"/>
    <s v="CS-25-193582"/>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7"/>
    <s v="Andrés Felipe Silva Martínez8"/>
    <x v="0"/>
    <x v="3"/>
    <s v="PQRS"/>
    <s v="Noviembre"/>
    <x v="10"/>
    <d v="2025-11-19T00:00:00"/>
    <x v="17"/>
    <n v="1120362660"/>
    <s v="2025-ER-0460404"/>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Cesar Rodrigo García12"/>
    <x v="0"/>
    <x v="1"/>
    <s v="PQRS"/>
    <s v="Noviembre"/>
    <x v="10"/>
    <d v="2025-11-19T00:00:00"/>
    <x v="1"/>
    <n v="1069257937"/>
    <s v="2025-ER-0235886"/>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Cristian Enrique Benitez Rodriguez11"/>
    <x v="0"/>
    <x v="1"/>
    <s v="PQRS"/>
    <s v="Noviembre"/>
    <x v="10"/>
    <d v="2025-11-19T00:00:00"/>
    <x v="2"/>
    <n v="1026574814"/>
    <s v="2025-ER-0301486"/>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6"/>
    <s v="Daniela Murillo Solano7"/>
    <x v="0"/>
    <x v="4"/>
    <s v="PQRS"/>
    <s v="Noviembre"/>
    <x v="10"/>
    <d v="2025-11-19T00:00:00"/>
    <x v="18"/>
    <n v="1234194276"/>
    <s v="2025-ER-0504753"/>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0"/>
    <s v="Erika Natalia Ramírez Herrera31"/>
    <x v="0"/>
    <x v="2"/>
    <s v="PQRS"/>
    <s v="Noviembre"/>
    <x v="10"/>
    <d v="2025-11-19T00:00:00"/>
    <x v="3"/>
    <n v="1032367072"/>
    <s v="2025-ER-0527568"/>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1"/>
    <s v="Erika Natalia Ramírez Herrera32"/>
    <x v="0"/>
    <x v="2"/>
    <s v="PQRS"/>
    <s v="Noviembre"/>
    <x v="10"/>
    <d v="2025-11-19T00:00:00"/>
    <x v="3"/>
    <n v="1032367072"/>
    <s v="2025-ER-0528464"/>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2"/>
    <s v="Erika Natalia Ramírez Herrera33"/>
    <x v="0"/>
    <x v="2"/>
    <s v="PQRS"/>
    <s v="Noviembre"/>
    <x v="10"/>
    <d v="2025-11-19T00:00:00"/>
    <x v="3"/>
    <n v="1032367072"/>
    <s v="2025-ER-0489538"/>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Ingrid Carolina Monsalve Quintero22"/>
    <x v="0"/>
    <x v="2"/>
    <s v="PQRS"/>
    <s v="Noviembre"/>
    <x v="10"/>
    <d v="2025-11-19T00:00:00"/>
    <x v="5"/>
    <n v="52805909"/>
    <s v="2025-ER-0523931"/>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2"/>
    <s v="Ingrid Carolina Monsalve Quintero23"/>
    <x v="0"/>
    <x v="2"/>
    <s v="PQRS"/>
    <s v="Noviembre"/>
    <x v="10"/>
    <d v="2025-11-19T00:00:00"/>
    <x v="5"/>
    <n v="52805909"/>
    <s v="2025-ER-0526829"/>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Jesus David Hernandez Fernandez de Castro10"/>
    <x v="0"/>
    <x v="3"/>
    <s v="PQRS"/>
    <s v="Noviembre"/>
    <x v="10"/>
    <d v="2025-11-19T00:00:00"/>
    <x v="6"/>
    <n v="1083038013"/>
    <s v="2025-ER-0523103 "/>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Juan Sebastián Suárez Morales13"/>
    <x v="0"/>
    <x v="1"/>
    <s v="PQRS"/>
    <s v="Noviembre"/>
    <x v="10"/>
    <d v="2025-11-19T00:00:00"/>
    <x v="8"/>
    <n v="1030541070"/>
    <s v="2025-ER-0521419 "/>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Laura Juliana Rueda Durán11"/>
    <x v="0"/>
    <x v="1"/>
    <s v="PQRS"/>
    <s v="Noviembre"/>
    <x v="10"/>
    <d v="2025-11-19T00:00:00"/>
    <x v="9"/>
    <n v="1026291591"/>
    <s v="2025-ER-0524204"/>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Laura Ximena Sandoval Galindo11"/>
    <x v="0"/>
    <x v="3"/>
    <s v="PQRS"/>
    <s v="Noviembre"/>
    <x v="10"/>
    <d v="2025-11-19T00:00:00"/>
    <x v="10"/>
    <n v="1030678660"/>
    <s v="2025-ER-0495037"/>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Maira Alejandra Rodriguez Losada21"/>
    <x v="0"/>
    <x v="2"/>
    <s v="PQRS"/>
    <s v="Noviembre"/>
    <x v="10"/>
    <d v="2025-11-19T00:00:00"/>
    <x v="11"/>
    <n v="1075224344"/>
    <s v="2025-ER-0474439"/>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Maira Alejandra Rodriguez Losada22"/>
    <x v="0"/>
    <x v="2"/>
    <s v="PQRS"/>
    <s v="Noviembre"/>
    <x v="10"/>
    <d v="2025-11-19T00:00:00"/>
    <x v="11"/>
    <n v="1075224344"/>
    <s v="2025-ER-0521838"/>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2"/>
    <s v="Maira Alejandra Rodriguez Losada23"/>
    <x v="0"/>
    <x v="2"/>
    <s v="PQRS"/>
    <s v="Noviembre"/>
    <x v="10"/>
    <d v="2025-11-19T00:00:00"/>
    <x v="11"/>
    <n v="1075224344"/>
    <s v="2025-ER-0509455"/>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María José Uribe Medina21"/>
    <x v="0"/>
    <x v="2"/>
    <s v="PQRS"/>
    <s v="Noviembre"/>
    <x v="10"/>
    <d v="2025-11-19T00:00:00"/>
    <x v="12"/>
    <n v="1121919150"/>
    <s v="2025-ER-0524014"/>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María José Uribe Medina22"/>
    <x v="0"/>
    <x v="2"/>
    <s v="PQRS"/>
    <s v="Noviembre"/>
    <x v="10"/>
    <d v="2025-11-19T00:00:00"/>
    <x v="12"/>
    <n v="1121919150"/>
    <s v="2025-ER-0527594"/>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0"/>
    <s v="Natalia Cañón Betancourt21"/>
    <x v="0"/>
    <x v="2"/>
    <s v="PQRS"/>
    <s v="Noviembre"/>
    <x v="10"/>
    <d v="2025-11-19T00:00:00"/>
    <x v="13"/>
    <n v="1000383417"/>
    <s v="2025-ER-0523127"/>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1"/>
    <s v="Natalia Cañón Betancourt22"/>
    <x v="0"/>
    <x v="2"/>
    <s v="PQRS"/>
    <s v="Noviembre"/>
    <x v="10"/>
    <d v="2025-11-19T00:00:00"/>
    <x v="13"/>
    <n v="1000383417"/>
    <s v="2025-ER-0527736"/>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Quira Alejandra Herrera Camelo11"/>
    <x v="0"/>
    <x v="3"/>
    <s v="PQRS"/>
    <s v="Noviembre"/>
    <x v="10"/>
    <d v="2025-11-19T00:00:00"/>
    <x v="14"/>
    <n v="1010214168"/>
    <s v="2025-ER-0527555"/>
    <s v="SI"/>
    <s v="SI"/>
    <s v="SI"/>
    <s v="NO"/>
    <n v="0.75"/>
    <s v="SI"/>
    <s v="SI"/>
    <s v="SI"/>
    <s v="SI"/>
    <n v="1"/>
    <s v="SI"/>
    <s v="SI"/>
    <s v="SI"/>
    <s v="SI"/>
    <s v="SI"/>
    <s v="SI"/>
    <n v="1.000000000000002"/>
    <s v="SI"/>
    <s v="SI"/>
    <n v="1"/>
    <x v="1"/>
    <n v="0"/>
    <n v="1"/>
    <n v="0"/>
    <n v="0"/>
    <n v="0"/>
    <s v="Monitoreo de Calidad – 20/10/2025 (Gestión del 19/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que la respuesta enviada al ciudadano presenta oportunidades de mejora en la redacción. En particular, se observa una inconsistencia en el saludo: en el encabezado se utiliza “Señor” y en el cuerpo del correo “Doctor”. Esto no cumple con los protocolos establecidos para la atención, que indican dirigirse al ciudadano, funcionario y/o entidad de manera correcta y completa._x000a_Recomendaciones para fortalecer la calidad:_x000a_Para fortalecer la experiencia del ciudadano y garantizar una comunicación más efectiva, se recomienda:_x000a_Referirse de forma clara y directa a cada solicitud realizada, al peticionario conforme a su título o cargo._x000a_Validar los aspectos de forma antes de enviar a revisión para evitar rechazos._x000a_Estas mejoras permitirán que la información sea más comprensible y alineada con nuestros estándares de calidad."/>
    <s v="Personalización correcta del peticionario"/>
    <s v="No valida la calidad del comunicado emitido antes de su revisión y aprobación"/>
    <s v="Me comprometo a revisar con mayor atención los saludos y aspectos formales de cada respuesta antes de enviar cualquier respuesta, verificando que cumpla con los lineamientos establecidos. De ahora en adelante, validaré cada documento antes de su envío para evitar errores de presentación o formato similares. "/>
    <s v="Luisa Fernanda Benavides Castrillon"/>
    <x v="0"/>
    <s v="John Sebastian Roncancio Avendaño"/>
    <n v="0.95"/>
    <x v="2"/>
  </r>
  <r>
    <s v="Ministerio de Educación Nacional"/>
    <x v="11"/>
    <s v="Valentina Castillo Rondón12"/>
    <x v="0"/>
    <x v="1"/>
    <s v="PQRS"/>
    <s v="Noviembre"/>
    <x v="10"/>
    <d v="2025-11-19T00:00:00"/>
    <x v="15"/>
    <n v="1121950095"/>
    <s v="2025-ER-0495766"/>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3"/>
    <s v="Yenny Maribel Duran Ovejero14"/>
    <x v="0"/>
    <x v="1"/>
    <s v="PQRS"/>
    <s v="Noviembre"/>
    <x v="10"/>
    <d v="2025-11-19T00:00:00"/>
    <x v="16"/>
    <n v="52962387"/>
    <s v="2025-ER-0462383 "/>
    <s v="SI"/>
    <s v="SI"/>
    <s v="SI"/>
    <s v="SI"/>
    <n v="1"/>
    <s v="SI"/>
    <s v="SI"/>
    <s v="SI"/>
    <s v="SI"/>
    <n v="1"/>
    <s v="SI"/>
    <s v="SI"/>
    <s v="SI"/>
    <s v="SI"/>
    <s v="SI"/>
    <s v="SI"/>
    <n v="1.000000000000002"/>
    <s v="SI"/>
    <s v="SI"/>
    <n v="1"/>
    <x v="0"/>
    <n v="0"/>
    <n v="0"/>
    <n v="0"/>
    <n v="0"/>
    <n v="0"/>
    <s v="Monitoreo de Calidad – 20/10/2025 (Gestión del 19/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2"/>
    <s v="Ana Graciela Barbosa Villalobos33"/>
    <x v="0"/>
    <x v="0"/>
    <s v="PQRS"/>
    <s v="Noviembre"/>
    <x v="11"/>
    <d v="2025-11-20T00:00:00"/>
    <x v="0"/>
    <n v="1026264261"/>
    <s v="CS-25-193637"/>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3"/>
    <s v="Ana Graciela Barbosa Villalobos34"/>
    <x v="0"/>
    <x v="0"/>
    <s v="PQRS"/>
    <s v="Noviembre"/>
    <x v="11"/>
    <d v="2025-11-20T00:00:00"/>
    <x v="0"/>
    <n v="1026264261"/>
    <s v="CS-25-193712"/>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4"/>
    <s v="Ana Graciela Barbosa Villalobos35"/>
    <x v="0"/>
    <x v="0"/>
    <s v="PQRS"/>
    <s v="Noviembre"/>
    <x v="11"/>
    <d v="2025-11-20T00:00:00"/>
    <x v="0"/>
    <n v="1026264261"/>
    <s v="CS-25-193736"/>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8"/>
    <s v="Andrés Felipe Silva Martínez9"/>
    <x v="0"/>
    <x v="3"/>
    <s v="Correo"/>
    <s v="Noviembre"/>
    <x v="11"/>
    <d v="2025-11-20T00:00:00"/>
    <x v="17"/>
    <n v="1120362660"/>
    <s v="SOL981001"/>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Cesar Rodrigo García13"/>
    <x v="0"/>
    <x v="1"/>
    <s v="PQRS"/>
    <s v="Noviembre"/>
    <x v="11"/>
    <d v="2025-11-20T00:00:00"/>
    <x v="1"/>
    <n v="1069257937"/>
    <s v="2025-ER-0515421"/>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Cristian Enrique Benitez Rodriguez12"/>
    <x v="0"/>
    <x v="1"/>
    <s v="PQRS"/>
    <s v="Noviembre"/>
    <x v="11"/>
    <d v="2025-11-20T00:00:00"/>
    <x v="2"/>
    <n v="1026574814"/>
    <s v="2025-ER-0405613"/>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Ingrid Carolina Monsalve Quintero24"/>
    <x v="0"/>
    <x v="2"/>
    <s v="PQRS"/>
    <s v="Noviembre"/>
    <x v="11"/>
    <d v="2025-11-20T00:00:00"/>
    <x v="5"/>
    <n v="52805909"/>
    <s v="2025-ER-0526952"/>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Ingrid Carolina Monsalve Quintero25"/>
    <x v="0"/>
    <x v="2"/>
    <s v="PQRS"/>
    <s v="Noviembre"/>
    <x v="11"/>
    <d v="2025-11-20T00:00:00"/>
    <x v="5"/>
    <n v="52805909"/>
    <s v="2025-ER-0527427"/>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Laura Juliana Rueda Durán12"/>
    <x v="0"/>
    <x v="1"/>
    <s v="PQRS"/>
    <s v="Noviembre"/>
    <x v="11"/>
    <d v="2025-11-20T00:00:00"/>
    <x v="9"/>
    <n v="1026291591"/>
    <s v="2025-ER-0531756"/>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Laura Ximena Sandoval Galindo12"/>
    <x v="0"/>
    <x v="3"/>
    <s v="PQRS"/>
    <s v="Noviembre"/>
    <x v="11"/>
    <d v="2025-11-20T00:00:00"/>
    <x v="10"/>
    <n v="1030678660"/>
    <s v="2025-ER-0518358"/>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Maira Alejandra Rodriguez Losada24"/>
    <x v="0"/>
    <x v="2"/>
    <s v="PQRS"/>
    <s v="Noviembre"/>
    <x v="11"/>
    <d v="2025-11-20T00:00:00"/>
    <x v="11"/>
    <n v="1075224344"/>
    <s v="2025-ER-0476587"/>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Maira Alejandra Rodriguez Losada25"/>
    <x v="0"/>
    <x v="2"/>
    <s v="PQRS"/>
    <s v="Noviembre"/>
    <x v="11"/>
    <d v="2025-11-20T00:00:00"/>
    <x v="11"/>
    <n v="1075224344"/>
    <s v="2025-ER-0509463"/>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2"/>
    <s v="María José Uribe Medina23"/>
    <x v="0"/>
    <x v="2"/>
    <s v="PQRS"/>
    <s v="Noviembre"/>
    <x v="11"/>
    <d v="2025-11-20T00:00:00"/>
    <x v="12"/>
    <n v="1121919150"/>
    <s v="2025-ER-0523874"/>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María José Uribe Medina24"/>
    <x v="0"/>
    <x v="2"/>
    <s v="PQRS"/>
    <s v="Noviembre"/>
    <x v="11"/>
    <d v="2025-11-20T00:00:00"/>
    <x v="12"/>
    <n v="1121919150"/>
    <s v="2025-ER-0531716"/>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2"/>
    <s v="Natalia Cañón Betancourt23"/>
    <x v="0"/>
    <x v="2"/>
    <s v="PQRS"/>
    <s v="Noviembre"/>
    <x v="11"/>
    <d v="2025-11-20T00:00:00"/>
    <x v="13"/>
    <n v="1000383417"/>
    <s v="2025-ER-0512296"/>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3"/>
    <s v="Natalia Cañón Betancourt24"/>
    <x v="0"/>
    <x v="2"/>
    <s v="PQRS"/>
    <s v="Noviembre"/>
    <x v="11"/>
    <d v="2025-11-20T00:00:00"/>
    <x v="13"/>
    <n v="1000383417"/>
    <s v="2025-ER-0528337"/>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1"/>
    <s v="Quira Alejandra Herrera Camelo12"/>
    <x v="0"/>
    <x v="3"/>
    <s v="PQRS"/>
    <s v="Noviembre"/>
    <x v="11"/>
    <d v="2025-11-20T00:00:00"/>
    <x v="14"/>
    <n v="1010214168"/>
    <s v="2025-ER-0511419"/>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2"/>
    <s v="Valentina Castillo Rondón13"/>
    <x v="0"/>
    <x v="1"/>
    <s v="PQRS"/>
    <s v="Noviembre"/>
    <x v="11"/>
    <d v="2025-11-20T00:00:00"/>
    <x v="15"/>
    <n v="1121950095"/>
    <s v="2025-ER-0497998"/>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4"/>
    <s v="Yenny Maribel Duran Ovejero15"/>
    <x v="0"/>
    <x v="1"/>
    <s v="PQRS"/>
    <s v="Noviembre"/>
    <x v="11"/>
    <d v="2025-11-20T00:00:00"/>
    <x v="16"/>
    <n v="52962387"/>
    <s v="2025-ER-0460504 "/>
    <s v="SI"/>
    <s v="SI"/>
    <s v="SI"/>
    <s v="SI"/>
    <n v="1"/>
    <s v="SI"/>
    <s v="SI"/>
    <s v="SI"/>
    <s v="SI"/>
    <n v="1"/>
    <s v="SI"/>
    <s v="SI"/>
    <s v="SI"/>
    <s v="SI"/>
    <s v="SI"/>
    <s v="SI"/>
    <n v="1.000000000000002"/>
    <s v="SI"/>
    <s v="SI"/>
    <n v="1"/>
    <x v="0"/>
    <n v="0"/>
    <n v="0"/>
    <n v="0"/>
    <n v="0"/>
    <n v="0"/>
    <s v="Monitoreo de Calidad – 21/10/2025 (Gestión del 20/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5"/>
    <s v="Ana Graciela Barbosa Villalobos36"/>
    <x v="0"/>
    <x v="0"/>
    <s v="PQRS"/>
    <s v="Noviembre"/>
    <x v="12"/>
    <d v="2025-11-21T00:00:00"/>
    <x v="0"/>
    <n v="1026264261"/>
    <s v="CS-25-193781"/>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9"/>
    <s v="Andrés Felipe Silva Martínez10"/>
    <x v="0"/>
    <x v="3"/>
    <s v="PQRS"/>
    <s v="Noviembre"/>
    <x v="12"/>
    <d v="2025-11-21T00:00:00"/>
    <x v="17"/>
    <n v="1120362660"/>
    <s v="2025-ER-0501235"/>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3"/>
    <s v="Erika Natalia Ramírez Herrera34"/>
    <x v="0"/>
    <x v="2"/>
    <s v="PQRS"/>
    <s v="Noviembre"/>
    <x v="12"/>
    <d v="2025-11-21T00:00:00"/>
    <x v="3"/>
    <n v="1032367072"/>
    <s v="2025-ER-0475329"/>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34"/>
    <s v="Erika Natalia Ramírez Herrera35"/>
    <x v="0"/>
    <x v="2"/>
    <s v="PQRS"/>
    <s v="Noviembre"/>
    <x v="12"/>
    <d v="2025-11-21T00:00:00"/>
    <x v="3"/>
    <n v="1032367072"/>
    <s v="2025-ER-0512567"/>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Ingrid Carolina Monsalve Quintero26"/>
    <x v="0"/>
    <x v="2"/>
    <s v="PQRS"/>
    <s v="Noviembre"/>
    <x v="12"/>
    <d v="2025-11-21T00:00:00"/>
    <x v="5"/>
    <n v="52805909"/>
    <s v="2025-ER-0528714"/>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6"/>
    <s v="Ingrid Carolina Monsalve Quintero27"/>
    <x v="0"/>
    <x v="2"/>
    <s v="PQRS"/>
    <s v="Noviembre"/>
    <x v="12"/>
    <d v="2025-11-21T00:00:00"/>
    <x v="5"/>
    <n v="52805909"/>
    <s v="2025-ER-0530276"/>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10"/>
    <s v="Jesus David Hernandez Fernandez de Castro11"/>
    <x v="0"/>
    <x v="3"/>
    <s v="PQRS"/>
    <s v="Noviembre"/>
    <x v="12"/>
    <d v="2025-11-21T00:00:00"/>
    <x v="6"/>
    <n v="1083038013"/>
    <s v="2025-ER-0499943"/>
    <s v="SI"/>
    <s v="NO"/>
    <s v="SI"/>
    <s v="SI"/>
    <n v="0.75"/>
    <s v="SI"/>
    <s v="SI"/>
    <s v="SI"/>
    <s v="SI"/>
    <n v="1"/>
    <s v="SI"/>
    <s v="SI"/>
    <s v="SI"/>
    <s v="SI"/>
    <s v="SI"/>
    <s v="SI"/>
    <n v="1.000000000000002"/>
    <s v="SI"/>
    <s v="SI"/>
    <n v="1"/>
    <x v="1"/>
    <n v="0"/>
    <n v="1"/>
    <n v="0"/>
    <n v="0"/>
    <n v="0"/>
    <s v="Monitoreo de Calidad – 24/10/2025 (Gestión del 21/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una oportunidad de mejora en la presentación del comunicado enviado al ciudadano. En particular, se observó la ausencia de espacios entre el saludo y el párrafo introductorio, lo que afecta la correcta estructura visual del mensaje._x000a_Para garantizar el cumplimiento de los protocolos establecidos y proyectar una imagen profesional tanto del documento como de la entidad, se recomienda:_x000a_Mantener una separación adecuada entre el saludo y el inicio del contenido._x000a_Cuidar la presentación general del texto para asegurar claridad y orden.dad."/>
    <s v="Presentación incorrecta del comunicado de respuesta"/>
    <s v="No valida la calidad del comunicado emitido antes de su revisión y aprobación"/>
    <s v="Revisar detalladamente antes de enviar, no entiendo que pasó. Siempre envío correctamente mis respuestas. "/>
    <s v="Luisa Fernanda Benavides Castrillon"/>
    <x v="0"/>
    <s v="John Sebastian Roncancio Avendaño"/>
    <n v="0.95"/>
    <x v="2"/>
  </r>
  <r>
    <s v="Ministerio de Educación Nacional"/>
    <x v="25"/>
    <s v="Maira Alejandra Rodriguez Losada26"/>
    <x v="0"/>
    <x v="2"/>
    <s v="PQRS"/>
    <s v="Noviembre"/>
    <x v="12"/>
    <d v="2025-11-21T00:00:00"/>
    <x v="11"/>
    <n v="1075224344"/>
    <s v="2025-ER-0510381"/>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6"/>
    <s v="Maira Alejandra Rodriguez Losada27"/>
    <x v="0"/>
    <x v="2"/>
    <s v="PQRS"/>
    <s v="Noviembre"/>
    <x v="12"/>
    <d v="2025-11-21T00:00:00"/>
    <x v="11"/>
    <n v="1075224344"/>
    <s v="2025-ER-0524137"/>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María José Uribe Medina25"/>
    <x v="0"/>
    <x v="2"/>
    <s v="PQRS"/>
    <s v="Noviembre"/>
    <x v="12"/>
    <d v="2025-11-21T00:00:00"/>
    <x v="12"/>
    <n v="1121919150"/>
    <s v="2025-ER-0524857"/>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María José Uribe Medina26"/>
    <x v="0"/>
    <x v="2"/>
    <s v="PQRS"/>
    <s v="Noviembre"/>
    <x v="12"/>
    <d v="2025-11-21T00:00:00"/>
    <x v="12"/>
    <n v="1121919150"/>
    <s v="2025-ER-0531847"/>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4"/>
    <s v="Natalia Cañón Betancourt25"/>
    <x v="0"/>
    <x v="2"/>
    <s v="PQRS"/>
    <s v="Noviembre"/>
    <x v="12"/>
    <d v="2025-11-21T00:00:00"/>
    <x v="13"/>
    <n v="1000383417"/>
    <s v="2025-ER-0530261"/>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2"/>
  </r>
  <r>
    <s v="Ministerio de Educación Nacional"/>
    <x v="25"/>
    <s v="Natalia Cañón Betancourt26"/>
    <x v="0"/>
    <x v="2"/>
    <s v="PQRS"/>
    <s v="Noviembre"/>
    <x v="12"/>
    <d v="2025-11-21T00:00:00"/>
    <x v="13"/>
    <n v="1000383417"/>
    <s v="2025-ER-0516351"/>
    <s v="SI"/>
    <s v="SI"/>
    <s v="SI"/>
    <s v="SI"/>
    <n v="1"/>
    <s v="SI"/>
    <s v="SI"/>
    <s v="SI"/>
    <s v="SI"/>
    <n v="1"/>
    <s v="SI"/>
    <s v="SI"/>
    <s v="SI"/>
    <s v="SI"/>
    <s v="SI"/>
    <s v="SI"/>
    <n v="1.000000000000002"/>
    <s v="SI"/>
    <s v="SI"/>
    <n v="1"/>
    <x v="0"/>
    <n v="0"/>
    <n v="0"/>
    <n v="0"/>
    <n v="0"/>
    <n v="0"/>
    <s v="Monitoreo de Calidad – 24/10/2025 (Gestión del 21/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6"/>
    <s v="Ana Graciela Barbosa Villalobos37"/>
    <x v="0"/>
    <x v="0"/>
    <s v="PQRS"/>
    <s v="Noviembre"/>
    <x v="13"/>
    <d v="2025-11-24T00:00:00"/>
    <x v="0"/>
    <n v="1026264261"/>
    <s v="CS-25-193875"/>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7"/>
    <s v="Ana Graciela Barbosa Villalobos38"/>
    <x v="0"/>
    <x v="0"/>
    <s v="PQRS"/>
    <s v="Noviembre"/>
    <x v="13"/>
    <d v="2025-11-24T00:00:00"/>
    <x v="0"/>
    <n v="1026264261"/>
    <s v="CS-25-193899"/>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8"/>
    <s v="Ana Graciela Barbosa Villalobos39"/>
    <x v="0"/>
    <x v="0"/>
    <s v="PQRS"/>
    <s v="Noviembre"/>
    <x v="13"/>
    <d v="2025-11-24T00:00:00"/>
    <x v="0"/>
    <n v="1026264261"/>
    <s v="CS-25-193923"/>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0"/>
    <s v="Andrés Felipe Silva Martínez11"/>
    <x v="0"/>
    <x v="3"/>
    <s v="PQRS"/>
    <s v="Noviembre"/>
    <x v="13"/>
    <d v="2025-11-24T00:00:00"/>
    <x v="17"/>
    <n v="1120362660"/>
    <s v="2025-ER-0522004"/>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Cristian Enrique Benitez Rodriguez13"/>
    <x v="0"/>
    <x v="1"/>
    <s v="PQRS"/>
    <s v="Noviembre"/>
    <x v="13"/>
    <d v="2025-11-24T00:00:00"/>
    <x v="2"/>
    <n v="1026574814"/>
    <s v="2025-ER-0501500 "/>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5"/>
    <s v="Erika Natalia Ramírez Herrera36"/>
    <x v="0"/>
    <x v="2"/>
    <s v="PQRS"/>
    <s v="Noviembre"/>
    <x v="13"/>
    <d v="2025-11-24T00:00:00"/>
    <x v="3"/>
    <n v="1032367072"/>
    <s v="2025-ER-0483587"/>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6"/>
    <s v="Erika Natalia Ramírez Herrera37"/>
    <x v="0"/>
    <x v="2"/>
    <s v="PQRS"/>
    <s v="Noviembre"/>
    <x v="13"/>
    <d v="2025-11-24T00:00:00"/>
    <x v="3"/>
    <n v="1032367072"/>
    <s v="2025-ER-0520988"/>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1"/>
    <s v="Henry Eduardo Padilla Castilla12"/>
    <x v="0"/>
    <x v="1"/>
    <s v="PQRS"/>
    <s v="Noviembre"/>
    <x v="13"/>
    <d v="2025-11-24T00:00:00"/>
    <x v="4"/>
    <n v="1063968280"/>
    <s v="2025-ER-0502781"/>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Ingrid Carolina Monsalve Quintero28"/>
    <x v="0"/>
    <x v="2"/>
    <s v="PQRS"/>
    <s v="Noviembre"/>
    <x v="13"/>
    <d v="2025-11-24T00:00:00"/>
    <x v="5"/>
    <n v="52805909"/>
    <s v="2025-ER-0530621"/>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Ingrid Carolina Monsalve Quintero29"/>
    <x v="0"/>
    <x v="2"/>
    <s v="PQRS"/>
    <s v="Noviembre"/>
    <x v="13"/>
    <d v="2025-11-24T00:00:00"/>
    <x v="5"/>
    <n v="52805909"/>
    <s v="2025-ER-0532362"/>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1"/>
    <s v="Jesus David Hernandez Fernandez de Castro12"/>
    <x v="0"/>
    <x v="3"/>
    <s v="PQRS"/>
    <s v="Noviembre"/>
    <x v="13"/>
    <d v="2025-11-24T00:00:00"/>
    <x v="6"/>
    <n v="1083038013"/>
    <s v="2025-ER-0511982"/>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8"/>
    <s v="Juan Jose Santoya Medina19"/>
    <x v="0"/>
    <x v="1"/>
    <s v="PQRS"/>
    <s v="Noviembre"/>
    <x v="13"/>
    <d v="2025-11-24T00:00:00"/>
    <x v="7"/>
    <n v="1053345183"/>
    <s v="2025-ER-0504143"/>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Juan Sebastián Suárez Morales14"/>
    <x v="0"/>
    <x v="1"/>
    <s v="PQRS"/>
    <s v="Noviembre"/>
    <x v="13"/>
    <d v="2025-11-24T00:00:00"/>
    <x v="8"/>
    <n v="1030541070"/>
    <s v="2025-ER-0524297 "/>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Juan Sebastián Suárez Morales15"/>
    <x v="0"/>
    <x v="1"/>
    <s v="PQRS"/>
    <s v="Noviembre"/>
    <x v="13"/>
    <d v="2025-11-24T00:00:00"/>
    <x v="8"/>
    <n v="1030541070"/>
    <s v="2025-ER-0529682"/>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Laura Ximena Sandoval Galindo13"/>
    <x v="0"/>
    <x v="3"/>
    <s v="PQRS"/>
    <s v="Noviembre"/>
    <x v="13"/>
    <d v="2025-11-24T00:00:00"/>
    <x v="10"/>
    <n v="1030678660"/>
    <s v="2025-ER-0512623"/>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Maira Alejandra Rodriguez Losada28"/>
    <x v="0"/>
    <x v="2"/>
    <s v="PQRS"/>
    <s v="Noviembre"/>
    <x v="13"/>
    <d v="2025-11-24T00:00:00"/>
    <x v="11"/>
    <n v="1075224344"/>
    <s v="2025-ER-0524489"/>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Maira Alejandra Rodriguez Losada29"/>
    <x v="0"/>
    <x v="2"/>
    <s v="PQRS"/>
    <s v="Noviembre"/>
    <x v="13"/>
    <d v="2025-11-24T00:00:00"/>
    <x v="11"/>
    <n v="1075224344"/>
    <s v="2025-ER-0526623"/>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6"/>
    <s v="María José Uribe Medina27"/>
    <x v="0"/>
    <x v="2"/>
    <s v="PQRS"/>
    <s v="Noviembre"/>
    <x v="13"/>
    <d v="2025-11-24T00:00:00"/>
    <x v="12"/>
    <n v="1121919150"/>
    <s v="2025-ER-0532645"/>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María José Uribe Medina28"/>
    <x v="0"/>
    <x v="2"/>
    <s v="PQRS"/>
    <s v="Noviembre"/>
    <x v="13"/>
    <d v="2025-11-24T00:00:00"/>
    <x v="12"/>
    <n v="1121919150"/>
    <s v="2025-ER-0529905"/>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6"/>
    <s v="Natalia Cañón Betancourt27"/>
    <x v="0"/>
    <x v="2"/>
    <s v="PQRS"/>
    <s v="Noviembre"/>
    <x v="13"/>
    <d v="2025-11-24T00:00:00"/>
    <x v="13"/>
    <n v="1000383417"/>
    <s v="2025-ER-0528378"/>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7"/>
    <s v="Natalia Cañón Betancourt28"/>
    <x v="0"/>
    <x v="2"/>
    <s v="PQRS"/>
    <s v="Noviembre"/>
    <x v="13"/>
    <d v="2025-11-24T00:00:00"/>
    <x v="13"/>
    <n v="1000383417"/>
    <s v="2025-ER-0514399"/>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Valentina Castillo Rondón14"/>
    <x v="0"/>
    <x v="1"/>
    <s v="PQRS"/>
    <s v="Noviembre"/>
    <x v="13"/>
    <d v="2025-11-24T00:00:00"/>
    <x v="15"/>
    <n v="1121950095"/>
    <s v="2025-ER-0510719"/>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Valentina Castillo Rondón15"/>
    <x v="0"/>
    <x v="1"/>
    <s v="PQRS"/>
    <s v="Noviembre"/>
    <x v="13"/>
    <d v="2025-11-24T00:00:00"/>
    <x v="15"/>
    <n v="1121950095"/>
    <s v="2025-ER-0509952"/>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Yenny Maribel Duran Ovejero16"/>
    <x v="0"/>
    <x v="1"/>
    <s v="PQRS"/>
    <s v="Noviembre"/>
    <x v="13"/>
    <d v="2025-11-24T00:00:00"/>
    <x v="16"/>
    <n v="52962387"/>
    <s v="2025-ER-0523916 "/>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Cesar Rodrigo García14"/>
    <x v="0"/>
    <x v="1"/>
    <s v="PQRS"/>
    <s v="Noviembre"/>
    <x v="13"/>
    <d v="2025-11-24T00:00:00"/>
    <x v="1"/>
    <n v="1069257937"/>
    <s v="2025-ER-0377634"/>
    <s v="SI"/>
    <s v="SI"/>
    <s v="SI"/>
    <s v="SI"/>
    <n v="1"/>
    <s v="SI"/>
    <s v="SI"/>
    <s v="SI"/>
    <s v="SI"/>
    <n v="1"/>
    <s v="SI"/>
    <s v="SI"/>
    <s v="SI"/>
    <s v="SI"/>
    <s v="SI"/>
    <s v="SI"/>
    <n v="1.000000000000002"/>
    <s v="SI"/>
    <s v="SI"/>
    <n v="1"/>
    <x v="0"/>
    <n v="0"/>
    <n v="0"/>
    <n v="0"/>
    <n v="0"/>
    <n v="0"/>
    <s v="Monitoreo de Calidad – 25/10/2025 (Gestión del 24/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9"/>
    <s v="Ana Graciela Barbosa Villalobos40"/>
    <x v="0"/>
    <x v="0"/>
    <s v="PQRS"/>
    <s v="Noviembre"/>
    <x v="14"/>
    <d v="2025-11-25T00:00:00"/>
    <x v="0"/>
    <n v="1026264261"/>
    <s v="2025-ER-0511474"/>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0"/>
    <s v="Ana Graciela Barbosa Villalobos41"/>
    <x v="0"/>
    <x v="0"/>
    <s v="PQRS"/>
    <s v="Noviembre"/>
    <x v="14"/>
    <d v="2025-11-25T00:00:00"/>
    <x v="0"/>
    <n v="1026264261"/>
    <s v="2025-ER-0527882"/>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1"/>
    <s v="Ana Graciela Barbosa Villalobos42"/>
    <x v="0"/>
    <x v="0"/>
    <s v="PQRS"/>
    <s v="Noviembre"/>
    <x v="14"/>
    <d v="2025-11-25T00:00:00"/>
    <x v="0"/>
    <n v="1026264261"/>
    <s v="CS-25-194113"/>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1"/>
    <s v="Andrés Felipe Silva Martínez12"/>
    <x v="0"/>
    <x v="3"/>
    <s v="PQRS"/>
    <s v="Noviembre"/>
    <x v="14"/>
    <d v="2025-11-25T00:00:00"/>
    <x v="17"/>
    <n v="1120362660"/>
    <s v="2025-ER-0501235"/>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Cesar Rodrigo García15"/>
    <x v="0"/>
    <x v="1"/>
    <s v="PQRS"/>
    <s v="Noviembre"/>
    <x v="14"/>
    <d v="2025-11-25T00:00:00"/>
    <x v="1"/>
    <n v="1069257937"/>
    <s v="2025-ER-0518726"/>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Cesar Rodrigo García16"/>
    <x v="0"/>
    <x v="1"/>
    <s v="PQRS"/>
    <s v="Noviembre"/>
    <x v="14"/>
    <d v="2025-11-25T00:00:00"/>
    <x v="1"/>
    <n v="1069257937"/>
    <s v="2025-ER-0468497"/>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Cristian Enrique Benitez Rodriguez14"/>
    <x v="0"/>
    <x v="1"/>
    <s v="PQRS"/>
    <s v="Noviembre"/>
    <x v="14"/>
    <d v="2025-11-25T00:00:00"/>
    <x v="2"/>
    <n v="1026574814"/>
    <s v="2025-ER-0518071"/>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7"/>
    <s v="Erika Natalia Ramírez Herrera38"/>
    <x v="0"/>
    <x v="2"/>
    <s v="PQRS"/>
    <s v="Noviembre"/>
    <x v="14"/>
    <d v="2025-11-25T00:00:00"/>
    <x v="3"/>
    <n v="1032367072"/>
    <s v="2025-ER-0533874"/>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8"/>
    <s v="Erika Natalia Ramírez Herrera39"/>
    <x v="0"/>
    <x v="2"/>
    <s v="PQRS"/>
    <s v="Noviembre"/>
    <x v="14"/>
    <d v="2025-11-25T00:00:00"/>
    <x v="3"/>
    <n v="1032367072"/>
    <s v="2025-ER-0535741"/>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Henry Eduardo Padilla Castilla13"/>
    <x v="0"/>
    <x v="1"/>
    <s v="PQRS"/>
    <s v="Noviembre"/>
    <x v="14"/>
    <d v="2025-11-25T00:00:00"/>
    <x v="4"/>
    <n v="1063968280"/>
    <s v="2025-ER-0504471"/>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Ingrid Carolina Monsalve Quintero30"/>
    <x v="0"/>
    <x v="2"/>
    <s v="PQRS"/>
    <s v="Noviembre"/>
    <x v="14"/>
    <d v="2025-11-25T00:00:00"/>
    <x v="5"/>
    <n v="52805909"/>
    <s v="2025-ER-0532321"/>
    <s v="SI"/>
    <s v="SI"/>
    <s v="SI"/>
    <s v="SI"/>
    <n v="1"/>
    <s v="SI"/>
    <s v="SI"/>
    <s v="SI"/>
    <s v="NO"/>
    <n v="0.75"/>
    <s v="SI"/>
    <s v="SI"/>
    <s v="SI"/>
    <s v="SI"/>
    <s v="SI"/>
    <s v="SI"/>
    <n v="1.000000000000002"/>
    <s v="SI"/>
    <s v="SI"/>
    <n v="1"/>
    <x v="1"/>
    <n v="1"/>
    <n v="0"/>
    <n v="1"/>
    <n v="0"/>
    <n v="0"/>
    <s v="Monitoreo de Calidad – 26/10/2025 (Gestión del 25/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que la respuesta enviada al ciudadano presenta dificultades en la redacción, específicamente por la ausencia de mayúsculas iniciales en nombres propios, como ocurre al citar normatividad. Este detalle afecta la presentación y la imagen profesional de la comunicación._x000a_Por ejemplo, en el texto actual se indica:_x000a_En especial, recomendamos analizar los estatutos protocolizados a través de la escritura pública 2163 del 19 de abril de 2018 de la notaría 62 de Bogotá, en cuyo artículo 3°, el cual se encuentra contenido en la página 16 de los estatutos en cita, (...)._x000a_Lo correcto sería:_x000a_En especial, recomendamos analizar los estatutos protocolizados a través de la Escritura Pública 2163 del 19 de abril de 2018 de la Notaría 62 de Bogotá, en cuyo Artículo 3°, el cual se encuentra contenido en la página 16 de los estatutos en cita, (...)._x000a_Recomendaciones para fortalecer la calidad:_x000a_Verificar el uso adecuado de mayúsculas en nombres propios y términos normativos, (para esto se adjunta infografía del tema)._x000a_Mantener la coherencia y cuidado en la presentación para proyectar profesionalismo y cumplir con los protocolos establecidos._x000a_Hay que asegurar que la comunicación sea clara, profesional y cercana."/>
    <s v="Uso correcto de mayúsculas en nombres propios"/>
    <s v="No valida la calidad del comunicado emitido antes de su revisión y aprobación"/>
    <m/>
    <s v="Luisa Fernanda Benavides Castrillon"/>
    <x v="0"/>
    <s v="John Sebastian Roncancio Avendaño"/>
    <n v="0.95"/>
    <x v="3"/>
  </r>
  <r>
    <s v="Ministerio de Educación Nacional"/>
    <x v="30"/>
    <s v="Ingrid Carolina Monsalve Quintero31"/>
    <x v="0"/>
    <x v="2"/>
    <s v="PQRS"/>
    <s v="Noviembre"/>
    <x v="14"/>
    <d v="2025-11-25T00:00:00"/>
    <x v="5"/>
    <n v="52805909"/>
    <s v="2025-ER-0536760"/>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Jesus David Hernandez Fernandez de Castro13"/>
    <x v="0"/>
    <x v="3"/>
    <s v="Correo"/>
    <s v="Noviembre"/>
    <x v="14"/>
    <d v="2025-11-25T00:00:00"/>
    <x v="6"/>
    <n v="1083038013"/>
    <s v="SOL976407"/>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9"/>
    <s v="Juan Jose Santoya Medina20"/>
    <x v="0"/>
    <x v="1"/>
    <s v="PQRS"/>
    <s v="Noviembre"/>
    <x v="14"/>
    <d v="2025-11-25T00:00:00"/>
    <x v="7"/>
    <n v="1053345183"/>
    <s v="2025-ER-0509480"/>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0"/>
    <s v="Juan Jose Santoya Medina21"/>
    <x v="0"/>
    <x v="1"/>
    <s v="PQRS"/>
    <s v="Noviembre"/>
    <x v="14"/>
    <d v="2025-11-25T00:00:00"/>
    <x v="7"/>
    <n v="1053345183"/>
    <s v="2025-ER-0523602"/>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1"/>
    <s v="Juan Jose Santoya Medina22"/>
    <x v="0"/>
    <x v="1"/>
    <s v="PQRS"/>
    <s v="Noviembre"/>
    <x v="14"/>
    <d v="2025-11-25T00:00:00"/>
    <x v="7"/>
    <n v="1053345183"/>
    <s v="2025-ER-0528936"/>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Juan Sebastián Suárez Morales16"/>
    <x v="0"/>
    <x v="1"/>
    <s v="PQRS"/>
    <s v="Noviembre"/>
    <x v="14"/>
    <d v="2025-11-25T00:00:00"/>
    <x v="8"/>
    <n v="1030541070"/>
    <s v="2025-ER-0530818"/>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Laura Ximena Sandoval Galindo14"/>
    <x v="0"/>
    <x v="3"/>
    <s v="PQRS"/>
    <s v="Noviembre"/>
    <x v="14"/>
    <d v="2025-11-25T00:00:00"/>
    <x v="10"/>
    <n v="1030678660"/>
    <s v="2025-ER-0512038"/>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Maira Alejandra Rodriguez Losada30"/>
    <x v="0"/>
    <x v="2"/>
    <s v="PQRS"/>
    <s v="Noviembre"/>
    <x v="14"/>
    <d v="2025-11-25T00:00:00"/>
    <x v="11"/>
    <n v="1075224344"/>
    <s v="2025-ER-0517169"/>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0"/>
    <s v="Maira Alejandra Rodriguez Losada31"/>
    <x v="0"/>
    <x v="2"/>
    <s v="PQRS"/>
    <s v="Noviembre"/>
    <x v="14"/>
    <d v="2025-11-25T00:00:00"/>
    <x v="11"/>
    <n v="1075224344"/>
    <s v="2025-ER-0528278"/>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María José Uribe Medina29"/>
    <x v="0"/>
    <x v="2"/>
    <s v="PQRS"/>
    <s v="Noviembre"/>
    <x v="14"/>
    <d v="2025-11-25T00:00:00"/>
    <x v="12"/>
    <n v="1121919150"/>
    <s v="2025-ER-0532936"/>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María José Uribe Medina30"/>
    <x v="0"/>
    <x v="2"/>
    <s v="PQRS"/>
    <s v="Noviembre"/>
    <x v="14"/>
    <d v="2025-11-25T00:00:00"/>
    <x v="12"/>
    <n v="1121919150"/>
    <s v="2025-ER-0534920"/>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8"/>
    <s v="Natalia Cañón Betancourt29"/>
    <x v="0"/>
    <x v="2"/>
    <s v="PQRS"/>
    <s v="Noviembre"/>
    <x v="14"/>
    <d v="2025-11-25T00:00:00"/>
    <x v="13"/>
    <n v="1000383417"/>
    <s v="2025-ER-0531228"/>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Valentina Castillo Rondón16"/>
    <x v="0"/>
    <x v="1"/>
    <s v="PQRS"/>
    <s v="Noviembre"/>
    <x v="14"/>
    <d v="2025-11-25T00:00:00"/>
    <x v="15"/>
    <n v="1121950095"/>
    <s v="2025-ER-0501457"/>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Yenny Maribel Duran Ovejero17"/>
    <x v="0"/>
    <x v="1"/>
    <s v="PQRS"/>
    <s v="Noviembre"/>
    <x v="14"/>
    <d v="2025-11-25T00:00:00"/>
    <x v="16"/>
    <n v="52962387"/>
    <s v="2025-ER-0524074  "/>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Yenny Maribel Duran Ovejero18"/>
    <x v="0"/>
    <x v="1"/>
    <s v="PQRS"/>
    <s v="Noviembre"/>
    <x v="14"/>
    <d v="2025-11-25T00:00:00"/>
    <x v="16"/>
    <n v="52962387"/>
    <s v="2025-ER-0524862"/>
    <s v="SI"/>
    <s v="SI"/>
    <s v="SI"/>
    <s v="SI"/>
    <n v="1"/>
    <s v="SI"/>
    <s v="SI"/>
    <s v="SI"/>
    <s v="SI"/>
    <n v="1"/>
    <s v="SI"/>
    <s v="SI"/>
    <s v="SI"/>
    <s v="SI"/>
    <s v="SI"/>
    <s v="SI"/>
    <n v="1.000000000000002"/>
    <s v="SI"/>
    <s v="SI"/>
    <n v="1"/>
    <x v="0"/>
    <n v="0"/>
    <n v="0"/>
    <n v="0"/>
    <n v="0"/>
    <n v="0"/>
    <s v="Monitoreo de Calidad – 26/10/2025 (Gestión del 25/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2"/>
    <s v="Ana Graciela Barbosa Villalobos43"/>
    <x v="0"/>
    <x v="0"/>
    <s v="PQRS"/>
    <s v="Noviembre"/>
    <x v="15"/>
    <d v="2025-11-26T00:00:00"/>
    <x v="0"/>
    <n v="1026264261"/>
    <s v="CS-25-19419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3"/>
    <s v="Ana Graciela Barbosa Villalobos44"/>
    <x v="0"/>
    <x v="0"/>
    <s v="PQRS"/>
    <s v="Noviembre"/>
    <x v="15"/>
    <d v="2025-11-26T00:00:00"/>
    <x v="0"/>
    <n v="1026264261"/>
    <s v="CS-25-194236"/>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4"/>
    <s v="Ana Graciela Barbosa Villalobos45"/>
    <x v="0"/>
    <x v="0"/>
    <s v="PQRS"/>
    <s v="Noviembre"/>
    <x v="15"/>
    <d v="2025-11-26T00:00:00"/>
    <x v="0"/>
    <n v="1026264261"/>
    <s v="CS-25-194244"/>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Andrés Felipe Silva Martínez13"/>
    <x v="0"/>
    <x v="3"/>
    <s v="PQRS"/>
    <s v="Noviembre"/>
    <x v="15"/>
    <d v="2025-11-26T00:00:00"/>
    <x v="17"/>
    <n v="1120362660"/>
    <s v="2025-ER-0508900"/>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Cesar Rodrigo García17"/>
    <x v="0"/>
    <x v="1"/>
    <s v="PQRS"/>
    <s v="Noviembre"/>
    <x v="15"/>
    <d v="2025-11-26T00:00:00"/>
    <x v="1"/>
    <n v="1069257937"/>
    <s v="2025-ER-052117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Cesar Rodrigo García18"/>
    <x v="0"/>
    <x v="1"/>
    <s v="PQRS"/>
    <s v="Noviembre"/>
    <x v="15"/>
    <d v="2025-11-26T00:00:00"/>
    <x v="1"/>
    <n v="1069257937"/>
    <s v="2025-ER-0523125"/>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Cristian Enrique Benitez Rodriguez15"/>
    <x v="0"/>
    <x v="1"/>
    <s v="PQRS"/>
    <s v="Noviembre"/>
    <x v="15"/>
    <d v="2025-11-26T00:00:00"/>
    <x v="2"/>
    <n v="1026574814"/>
    <s v="2025-ER-051068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7"/>
    <s v="Daniela Murillo Solano8"/>
    <x v="0"/>
    <x v="4"/>
    <s v="PQRS"/>
    <s v="Noviembre"/>
    <x v="15"/>
    <d v="2025-11-26T00:00:00"/>
    <x v="18"/>
    <n v="1234194276"/>
    <s v="2025-ER-0530756"/>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9"/>
    <s v="Erika Natalia Ramírez Herrera40"/>
    <x v="0"/>
    <x v="2"/>
    <s v="PQRS"/>
    <s v="Noviembre"/>
    <x v="15"/>
    <d v="2025-11-26T00:00:00"/>
    <x v="3"/>
    <n v="1032367072"/>
    <s v="2025-ER-0513288"/>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0"/>
    <s v="Erika Natalia Ramírez Herrera41"/>
    <x v="0"/>
    <x v="2"/>
    <s v="PQRS"/>
    <s v="Noviembre"/>
    <x v="15"/>
    <d v="2025-11-26T00:00:00"/>
    <x v="3"/>
    <n v="1032367072"/>
    <s v="2025-ER-0536569"/>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Henry Eduardo Padilla Castilla14"/>
    <x v="0"/>
    <x v="1"/>
    <s v="PQRS"/>
    <s v="Noviembre"/>
    <x v="15"/>
    <d v="2025-11-26T00:00:00"/>
    <x v="4"/>
    <n v="1063968280"/>
    <s v="2025-ER-0519205"/>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Henry Eduardo Padilla Castilla15"/>
    <x v="0"/>
    <x v="1"/>
    <s v="PQRS"/>
    <s v="Noviembre"/>
    <x v="15"/>
    <d v="2025-11-26T00:00:00"/>
    <x v="4"/>
    <n v="1063968280"/>
    <s v="2025-ER-0505955"/>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1"/>
    <s v="Ingrid Carolina Monsalve Quintero32"/>
    <x v="0"/>
    <x v="2"/>
    <s v="PQRS"/>
    <s v="Noviembre"/>
    <x v="15"/>
    <d v="2025-11-26T00:00:00"/>
    <x v="5"/>
    <n v="52805909"/>
    <s v="2025-ER-0536544"/>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2"/>
    <s v="Ingrid Carolina Monsalve Quintero33"/>
    <x v="0"/>
    <x v="2"/>
    <s v="PQRS"/>
    <s v="Noviembre"/>
    <x v="15"/>
    <d v="2025-11-26T00:00:00"/>
    <x v="5"/>
    <n v="52805909"/>
    <s v="2025-ER-0535651"/>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Jesus David Hernandez Fernandez de Castro14"/>
    <x v="0"/>
    <x v="3"/>
    <s v="PQRS"/>
    <s v="Noviembre"/>
    <x v="15"/>
    <d v="2025-11-26T00:00:00"/>
    <x v="6"/>
    <n v="1083038013"/>
    <s v="2025-ER-051205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2"/>
    <s v="Juan Jose Santoya Medina23"/>
    <x v="0"/>
    <x v="1"/>
    <s v="PQRS"/>
    <s v="Noviembre"/>
    <x v="15"/>
    <d v="2025-11-26T00:00:00"/>
    <x v="7"/>
    <n v="1053345183"/>
    <s v="2025-ER-0524071"/>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3"/>
    <s v="Juan Jose Santoya Medina24"/>
    <x v="0"/>
    <x v="1"/>
    <s v="PQRS"/>
    <s v="Noviembre"/>
    <x v="15"/>
    <d v="2025-11-26T00:00:00"/>
    <x v="7"/>
    <n v="1053345183"/>
    <s v="2025-ER-0526461"/>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Juan Sebastián Suárez Morales17"/>
    <x v="0"/>
    <x v="1"/>
    <s v="PQRS"/>
    <s v="Noviembre"/>
    <x v="15"/>
    <d v="2025-11-26T00:00:00"/>
    <x v="8"/>
    <n v="1030541070"/>
    <s v="2025-ER-053216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2"/>
    <s v="Laura Juliana Rueda Durán13"/>
    <x v="0"/>
    <x v="1"/>
    <s v="PQRS"/>
    <s v="Noviembre"/>
    <x v="15"/>
    <d v="2025-11-26T00:00:00"/>
    <x v="9"/>
    <n v="1026291591"/>
    <s v="2025-ER-0536244"/>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Laura Ximena Sandoval Galindo15"/>
    <x v="0"/>
    <x v="3"/>
    <s v="PQRS"/>
    <s v="Noviembre"/>
    <x v="15"/>
    <d v="2025-11-26T00:00:00"/>
    <x v="10"/>
    <n v="1030678660"/>
    <s v="2025-ER-052330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1"/>
    <s v="Maira Alejandra Rodriguez Losada32"/>
    <x v="0"/>
    <x v="2"/>
    <s v="PQRS"/>
    <s v="Noviembre"/>
    <x v="15"/>
    <d v="2025-11-26T00:00:00"/>
    <x v="11"/>
    <n v="1075224344"/>
    <s v="2025-ER-0533507"/>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2"/>
    <s v="Maira Alejandra Rodriguez Losada33"/>
    <x v="0"/>
    <x v="2"/>
    <s v="PQRS"/>
    <s v="Noviembre"/>
    <x v="15"/>
    <d v="2025-11-26T00:00:00"/>
    <x v="11"/>
    <n v="1075224344"/>
    <s v="2025-ER-0533678"/>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0"/>
    <s v="María José Uribe Medina31"/>
    <x v="0"/>
    <x v="2"/>
    <s v="PQRS"/>
    <s v="Noviembre"/>
    <x v="15"/>
    <d v="2025-11-26T00:00:00"/>
    <x v="12"/>
    <n v="1121919150"/>
    <s v="2025-ER-0533564"/>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1"/>
    <s v="María José Uribe Medina32"/>
    <x v="0"/>
    <x v="2"/>
    <s v="PQRS"/>
    <s v="Noviembre"/>
    <x v="15"/>
    <d v="2025-11-26T00:00:00"/>
    <x v="12"/>
    <n v="1121919150"/>
    <s v="2025-ER-0535706"/>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9"/>
    <s v="Natalia Cañón Betancourt30"/>
    <x v="0"/>
    <x v="2"/>
    <s v="PQRS"/>
    <s v="Noviembre"/>
    <x v="15"/>
    <d v="2025-11-26T00:00:00"/>
    <x v="13"/>
    <n v="1000383417"/>
    <s v="2025-ER-053101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0"/>
    <s v="Natalia Cañón Betancourt31"/>
    <x v="0"/>
    <x v="2"/>
    <s v="PQRS"/>
    <s v="Noviembre"/>
    <x v="15"/>
    <d v="2025-11-26T00:00:00"/>
    <x v="13"/>
    <n v="1000383417"/>
    <s v="2025-ER-0533167"/>
    <s v="SI"/>
    <s v="NO"/>
    <s v="SI"/>
    <s v="SI"/>
    <n v="0.75"/>
    <s v="SI"/>
    <s v="SI"/>
    <s v="SI"/>
    <s v="SI"/>
    <n v="1"/>
    <s v="SI"/>
    <s v="SI"/>
    <s v="SI"/>
    <s v="SI"/>
    <s v="SI"/>
    <s v="SI"/>
    <n v="1.000000000000002"/>
    <s v="SI"/>
    <s v="SI"/>
    <n v="1"/>
    <x v="1"/>
    <n v="0"/>
    <n v="1"/>
    <n v="0"/>
    <n v="0"/>
    <n v="0"/>
    <s v="Monitoreo de Calidad – 27/11/2025 (Gestión del 26/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que la respuesta enviada al ciudadano presenta dificultades en la redacción, específicamente por el uso excesivo de mayúsculas. Al tratarse de nombres propios, se debe emplear únicamente la mayúscula inicial, evitando resaltar palabras innecesariamente._x000a_Este detalle no solo afecta la presentación del documento, sino que puede transmitir una percepción inadecuada, dando más relevancia a ciertos términos que a la misma subdirección._x000a_Recomendaciones para fortalecer la calidad:_x000a_Utilizar mayúsculas únicamente en la primera letra de nombres propios y términos normativos._x000a_Mantener una estructura equilibrada y profesional que proyecte empatía y claridad en la comunicación._x000a_Estas mejoras contribuirán a una presentación más ordenada y alineada con los protocolos establecidos."/>
    <s v="Uso correcto de mayúsculas en nombres propios"/>
    <s v="No valida la calidad del comunicado emitido antes de su revisión y aprobación"/>
    <m/>
    <s v="Luisa Fernanda Benavides Castrillon"/>
    <x v="0"/>
    <s v="John Sebastian Roncancio Avendaño"/>
    <n v="0.95"/>
    <x v="3"/>
  </r>
  <r>
    <s v="Ministerio de Educación Nacional"/>
    <x v="12"/>
    <s v="Quira Alejandra Herrera Camelo13"/>
    <x v="0"/>
    <x v="3"/>
    <s v="PQRS"/>
    <s v="Noviembre"/>
    <x v="15"/>
    <d v="2025-11-26T00:00:00"/>
    <x v="14"/>
    <n v="1010214168"/>
    <s v="2025-ER-0506659"/>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6"/>
    <s v="Valentina Castillo Rondón17"/>
    <x v="0"/>
    <x v="1"/>
    <s v="PQRS"/>
    <s v="Noviembre"/>
    <x v="15"/>
    <d v="2025-11-26T00:00:00"/>
    <x v="15"/>
    <n v="1121950095"/>
    <s v="2025-ER-0522132"/>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8"/>
    <s v="Yenny Maribel Duran Ovejero19"/>
    <x v="0"/>
    <x v="1"/>
    <s v="PQRS"/>
    <s v="Noviembre"/>
    <x v="15"/>
    <d v="2025-11-26T00:00:00"/>
    <x v="16"/>
    <n v="52962387"/>
    <s v="2025-ER-0527576"/>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9"/>
    <s v="Yenny Maribel Duran Ovejero20"/>
    <x v="0"/>
    <x v="1"/>
    <s v="PQRS"/>
    <s v="Noviembre"/>
    <x v="15"/>
    <d v="2025-11-26T00:00:00"/>
    <x v="16"/>
    <n v="52962387"/>
    <s v="2025-ER-0528990"/>
    <s v="SI"/>
    <s v="SI"/>
    <s v="SI"/>
    <s v="SI"/>
    <n v="1"/>
    <s v="SI"/>
    <s v="SI"/>
    <s v="SI"/>
    <s v="SI"/>
    <n v="1"/>
    <s v="SI"/>
    <s v="SI"/>
    <s v="SI"/>
    <s v="SI"/>
    <s v="SI"/>
    <s v="SI"/>
    <n v="1.000000000000002"/>
    <s v="SI"/>
    <s v="SI"/>
    <n v="1"/>
    <x v="0"/>
    <n v="0"/>
    <n v="0"/>
    <n v="0"/>
    <n v="0"/>
    <n v="0"/>
    <s v="Monitoreo de Calidad – 27/10/2025 (Gestión del 26/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5"/>
    <s v="Ana Graciela Barbosa Villalobos46"/>
    <x v="0"/>
    <x v="0"/>
    <s v="PQRS"/>
    <s v="Noviembre"/>
    <x v="16"/>
    <d v="2025-11-27T00:00:00"/>
    <x v="0"/>
    <n v="1026264261"/>
    <s v="CS-25-194333"/>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6"/>
    <s v="Ana Graciela Barbosa Villalobos47"/>
    <x v="0"/>
    <x v="0"/>
    <s v="PQRS"/>
    <s v="Noviembre"/>
    <x v="16"/>
    <d v="2025-11-27T00:00:00"/>
    <x v="0"/>
    <n v="1026264261"/>
    <s v="CS-25-194340"/>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47"/>
    <s v="Ana Graciela Barbosa Villalobos48"/>
    <x v="0"/>
    <x v="0"/>
    <s v="PQRS"/>
    <s v="Noviembre"/>
    <x v="16"/>
    <d v="2025-11-27T00:00:00"/>
    <x v="0"/>
    <n v="1026264261"/>
    <s v="CS-25-194342"/>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Andrés Felipe Silva Martínez14"/>
    <x v="0"/>
    <x v="3"/>
    <s v="Correo"/>
    <s v="Noviembre"/>
    <x v="16"/>
    <d v="2025-11-27T00:00:00"/>
    <x v="17"/>
    <n v="1120362660"/>
    <s v="SOL991965"/>
    <s v="SI"/>
    <s v="SI"/>
    <s v="SI"/>
    <s v="SI"/>
    <n v="1"/>
    <s v="SI"/>
    <s v="SI"/>
    <s v="SI"/>
    <s v="NO"/>
    <n v="0.75"/>
    <s v="SI"/>
    <s v="SI"/>
    <s v="SI"/>
    <s v="SI"/>
    <s v="SI"/>
    <s v="SI"/>
    <n v="1.000000000000002"/>
    <s v="SI"/>
    <s v="SI"/>
    <n v="1"/>
    <x v="1"/>
    <n v="1"/>
    <n v="0"/>
    <n v="1"/>
    <n v="0"/>
    <n v="0"/>
    <s v="Monitoreo de Calidad – 28/11/2025 (Gestión del 27/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que la respuesta enviada al ciudadano presenta dificultades en la redacción, principalmente por la falta de tildes y por no mantener el estilo profesional esperado en la comunicación._x000a_Además, se observó el uso de expresiones que pueden generar dudas sobre su adecuación en contextos formales, como “con relación a”, que aunque es correcta, se percibe menos natural que “en relación con”, recomendada para una comunicación clara y profesional._x000a_Ejemplos:_x000a_Correcto: En relación con el informe, se tomarán medidas correctivas._x000a_Menos recomendado: Con relación a tu consulta, adjunto la documentación solicitada._x000a_Recomendaciones para fortalecer la calidad:_x000a_Verificar el uso adecuado de tildes en todo el texto._x000a_Emplear expresiones más naturales y frecuentes en contextos formales, como “en relación con”, para proyectar profesionalismo y claridad._x000a_Estas mejoras contribuirán a una comunicación más coherente, empática y alineada con los estándares institucionales."/>
    <s v="Redacción y uso correcto de las tildes"/>
    <s v="No valida la calidad del comunicado emitido antes de su revisión y aprobación"/>
    <m/>
    <s v="Luisa Fernanda Benavides Castrillon"/>
    <x v="0"/>
    <s v="John Sebastian Roncancio Avendaño"/>
    <n v="0.95"/>
    <x v="3"/>
  </r>
  <r>
    <s v="Ministerio de Educación Nacional"/>
    <x v="18"/>
    <s v="Cesar Rodrigo García19"/>
    <x v="0"/>
    <x v="1"/>
    <s v="PQRS"/>
    <s v="Noviembre"/>
    <x v="16"/>
    <d v="2025-11-27T00:00:00"/>
    <x v="1"/>
    <n v="1069257937"/>
    <s v="2025-ER-0524803"/>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9"/>
    <s v="Cesar Rodrigo García20"/>
    <x v="0"/>
    <x v="1"/>
    <s v="PQRS"/>
    <s v="Noviembre"/>
    <x v="16"/>
    <d v="2025-11-27T00:00:00"/>
    <x v="1"/>
    <n v="1069257937"/>
    <s v="2025-ER-0533827"/>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Cristian Enrique Benitez Rodriguez16"/>
    <x v="0"/>
    <x v="1"/>
    <s v="PQRS"/>
    <s v="Noviembre"/>
    <x v="16"/>
    <d v="2025-11-27T00:00:00"/>
    <x v="2"/>
    <n v="1026574814"/>
    <s v="2025-ER-0463956"/>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8"/>
    <s v="Daniela Murillo Solano9"/>
    <x v="0"/>
    <x v="4"/>
    <s v="PQRS"/>
    <s v="Noviembre"/>
    <x v="16"/>
    <d v="2025-11-27T00:00:00"/>
    <x v="18"/>
    <n v="1234194276"/>
    <s v="2025-ER-0227792"/>
    <s v="SI"/>
    <s v="NO"/>
    <s v="SI"/>
    <s v="SI"/>
    <n v="0.75"/>
    <s v="SI"/>
    <s v="SI"/>
    <s v="SI"/>
    <s v="SI"/>
    <n v="1"/>
    <s v="SI"/>
    <s v="SI"/>
    <s v="SI"/>
    <s v="SI"/>
    <s v="SI"/>
    <s v="SI"/>
    <n v="1.000000000000002"/>
    <s v="SI"/>
    <s v="SI"/>
    <n v="1"/>
    <x v="1"/>
    <n v="0"/>
    <n v="1"/>
    <n v="0"/>
    <n v="0"/>
    <n v="0"/>
    <s v="Monitoreo de Calidad – 28/11/2025 (Gestión del 27/11/2025): Gracias por tu gestión y por el esfuerzo en atender la solicitud del ciudadano. Durante la validación del comunicado, identificamos aspectos positivos y oportunidades para seguir fortaleciendo la calidad del servicio:_x000a_Fortalezas: Cumplimiento parcial de lineamientos: Se evidencia conocimiento de la estructura básica y uso de plantillas, lo que refleja disposición para seguir los estándares del área, Contenido alineado al objetivo: La información principal está presente, lo que indica comprensión del propósito de la respuesta._x000a_Oportunidades de mejora: Se identificó oportunidad de mejora relacionada con la presentación del comunicado, específicamente en el uso adecuado de los espacios entre párrafos. Cuando no se respetan estos espacios, la estructura visual se ve afectada y puede transmitir una percepción poco profesional, reduciendo la claridad y la empatía del mensaje._x000a_Recomendaciones para fortalecer la calidad:_x000a_Asegurar una separación adecuada entre párrafos para facilitar la lectura y proyectar una imagen ordenada y coherente._x000a_Mantener una presentación que refleje los estándares de calidad y la imagen institucional._x000a_Validar plantillas y proyecto de respuesta del RAD  2025-ER-0362389, el cual también presenta oportunidad de mejora._x000a_Estas mejoras contribuirán a fortalecer la experiencia del ciudadano y la percepción positiva de la entidad."/>
    <s v="Presentación incorrecta del comunicado de respuesta"/>
    <s v="No valida la calidad del comunicado emitido antes de su revisión y aprobación"/>
    <m/>
    <s v="Luisa Fernanda Benavides Castrillon"/>
    <x v="0"/>
    <s v="John Sebastian Roncancio Avendaño"/>
    <n v="0.95"/>
    <x v="3"/>
  </r>
  <r>
    <s v="Ministerio de Educación Nacional"/>
    <x v="9"/>
    <s v="Daniela Murillo Solano10"/>
    <x v="0"/>
    <x v="4"/>
    <s v="PQRS"/>
    <s v="Noviembre"/>
    <x v="16"/>
    <d v="2025-11-27T00:00:00"/>
    <x v="18"/>
    <n v="1234194276"/>
    <s v="2025-ER-0362389"/>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Henry Eduardo Padilla Castilla16"/>
    <x v="0"/>
    <x v="1"/>
    <s v="PQRS"/>
    <s v="Noviembre"/>
    <x v="16"/>
    <d v="2025-11-27T00:00:00"/>
    <x v="4"/>
    <n v="1063968280"/>
    <s v="2025-ER-0518940"/>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3"/>
    <s v="Ingrid Carolina Monsalve Quintero34"/>
    <x v="0"/>
    <x v="2"/>
    <s v="PQRS"/>
    <s v="Noviembre"/>
    <x v="16"/>
    <d v="2025-11-27T00:00:00"/>
    <x v="5"/>
    <n v="52805909"/>
    <s v="2025-ER-0536672"/>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4"/>
    <s v="Ingrid Carolina Monsalve Quintero35"/>
    <x v="0"/>
    <x v="2"/>
    <s v="PQRS"/>
    <s v="Noviembre"/>
    <x v="16"/>
    <d v="2025-11-27T00:00:00"/>
    <x v="5"/>
    <n v="52805909"/>
    <s v="2025-ER-0538378"/>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4"/>
    <s v="Jesus David Hernandez Fernandez de Castro15"/>
    <x v="0"/>
    <x v="3"/>
    <s v="PQRS"/>
    <s v="Noviembre"/>
    <x v="16"/>
    <d v="2025-11-27T00:00:00"/>
    <x v="6"/>
    <n v="1083038013"/>
    <s v="2025-ER-0522025"/>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4"/>
    <s v="Juan Jose Santoya Medina25"/>
    <x v="0"/>
    <x v="1"/>
    <s v="PQRS"/>
    <s v="Noviembre"/>
    <x v="16"/>
    <d v="2025-11-27T00:00:00"/>
    <x v="7"/>
    <n v="1053345183"/>
    <s v="2025-ER-0531275"/>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5"/>
    <s v="Juan Jose Santoya Medina26"/>
    <x v="0"/>
    <x v="1"/>
    <s v="PQRS"/>
    <s v="Noviembre"/>
    <x v="16"/>
    <d v="2025-11-27T00:00:00"/>
    <x v="7"/>
    <n v="1053345183"/>
    <s v="2025-ER-0533599"/>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Juan Sebastián Suárez Morales18"/>
    <x v="0"/>
    <x v="1"/>
    <s v="PQRS"/>
    <s v="Noviembre"/>
    <x v="16"/>
    <d v="2025-11-27T00:00:00"/>
    <x v="8"/>
    <n v="1030541070"/>
    <s v="2025-ER-0536070"/>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Laura Juliana Rueda Durán14"/>
    <x v="0"/>
    <x v="1"/>
    <s v="PQRS"/>
    <s v="Noviembre"/>
    <x v="16"/>
    <d v="2025-11-27T00:00:00"/>
    <x v="9"/>
    <n v="1026291591"/>
    <s v="2025-ER-0517086"/>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5"/>
    <s v="Laura Ximena Sandoval Galindo16"/>
    <x v="0"/>
    <x v="3"/>
    <s v="PQRS"/>
    <s v="Noviembre"/>
    <x v="16"/>
    <d v="2025-11-27T00:00:00"/>
    <x v="10"/>
    <n v="1030678660"/>
    <s v="2025-ER-0522037"/>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3"/>
    <s v="Maira Alejandra Rodriguez Losada34"/>
    <x v="0"/>
    <x v="2"/>
    <s v="PQRS"/>
    <s v="Noviembre"/>
    <x v="16"/>
    <d v="2025-11-27T00:00:00"/>
    <x v="11"/>
    <n v="1075224344"/>
    <s v="2025-ER-0487583"/>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4"/>
    <s v="Maira Alejandra Rodriguez Losada35"/>
    <x v="0"/>
    <x v="2"/>
    <s v="PQRS"/>
    <s v="Noviembre"/>
    <x v="16"/>
    <d v="2025-11-27T00:00:00"/>
    <x v="11"/>
    <n v="1075224344"/>
    <s v="2025-ER-0536087"/>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2"/>
    <s v="María José Uribe Medina33"/>
    <x v="0"/>
    <x v="2"/>
    <s v="PQRS"/>
    <s v="Noviembre"/>
    <x v="16"/>
    <d v="2025-11-27T00:00:00"/>
    <x v="12"/>
    <n v="1121919150"/>
    <s v="2025-ER-0530092"/>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3"/>
    <s v="María José Uribe Medina34"/>
    <x v="0"/>
    <x v="2"/>
    <s v="PQRS"/>
    <s v="Noviembre"/>
    <x v="16"/>
    <d v="2025-11-27T00:00:00"/>
    <x v="12"/>
    <n v="1121919150"/>
    <s v="2025-ER-0537825"/>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1"/>
    <s v="Natalia Cañón Betancourt32"/>
    <x v="0"/>
    <x v="2"/>
    <s v="PQRS"/>
    <s v="Noviembre"/>
    <x v="16"/>
    <d v="2025-11-27T00:00:00"/>
    <x v="13"/>
    <n v="1000383417"/>
    <s v="2025-ER-0536870"/>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32"/>
    <s v="Natalia Cañón Betancourt33"/>
    <x v="0"/>
    <x v="2"/>
    <s v="PQRS"/>
    <s v="Noviembre"/>
    <x v="16"/>
    <d v="2025-11-27T00:00:00"/>
    <x v="13"/>
    <n v="1000383417"/>
    <s v="2025-ER-0538974"/>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3"/>
    <s v="Quira Alejandra Herrera Camelo14"/>
    <x v="0"/>
    <x v="3"/>
    <s v="PQRS"/>
    <s v="Noviembre"/>
    <x v="16"/>
    <d v="2025-11-27T00:00:00"/>
    <x v="14"/>
    <n v="1010214168"/>
    <s v="2025-ER-0523910"/>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17"/>
    <s v="Valentina Castillo Rondón18"/>
    <x v="0"/>
    <x v="1"/>
    <s v="PQRS"/>
    <s v="Noviembre"/>
    <x v="16"/>
    <d v="2025-11-27T00:00:00"/>
    <x v="15"/>
    <n v="1121950095"/>
    <s v="2025-ER-0455284"/>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0"/>
    <s v="Yenny Maribel Duran Ovejero21"/>
    <x v="0"/>
    <x v="1"/>
    <s v="PQRS"/>
    <s v="Noviembre"/>
    <x v="16"/>
    <d v="2025-11-27T00:00:00"/>
    <x v="16"/>
    <n v="52962387"/>
    <s v="2025-ER-0532250 "/>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Ministerio de Educación Nacional"/>
    <x v="21"/>
    <s v="Yenny Maribel Duran Ovejero22"/>
    <x v="0"/>
    <x v="1"/>
    <s v="PQRS"/>
    <s v="Noviembre"/>
    <x v="16"/>
    <d v="2025-11-27T00:00:00"/>
    <x v="16"/>
    <n v="52962387"/>
    <s v="2025-ER-0533307"/>
    <s v="SI"/>
    <s v="SI"/>
    <s v="SI"/>
    <s v="SI"/>
    <n v="1"/>
    <s v="SI"/>
    <s v="SI"/>
    <s v="SI"/>
    <s v="SI"/>
    <n v="1"/>
    <s v="SI"/>
    <s v="SI"/>
    <s v="SI"/>
    <s v="SI"/>
    <s v="SI"/>
    <s v="SI"/>
    <n v="1.000000000000002"/>
    <s v="SI"/>
    <s v="SI"/>
    <n v="1"/>
    <x v="0"/>
    <n v="0"/>
    <n v="0"/>
    <n v="0"/>
    <n v="0"/>
    <n v="0"/>
    <s v="Monitoreo de Calidad – 28/10/2025 (Gestión del 27/11/2025): Se realizó la validación de la gestión del comunicado y se confirma que la respuesta fue correcta, sin novedades de fondo ni de forma. Se evidencia un manejo adecuado de las plantillas, cumpliendo con los lineamientos establecidos por el área y los elementos evaluados por Calidad. Se resaltan las siguientes fortalezas:_x000a_•_x0009_Presentación clara y ordenada: La comunicación de salida refleja una estructura coherente y profesional, lo que contribuye a la comprensión del mensaje por parte del ciudadano, (se recomienda hacer uso correcto de los espacios entre párrafos)._x000a_•_x0009_Cumplimiento de lineamientos: Se observa un uso correcto de las plantillas, garantizando uniformidad y consistencia en la gestión._x000a_•_x0009_Actitud proactiva: La respuesta proyecta compromiso con la calidad y atención al detalle, lo que fortalece la imagen institucional._x000a_En general, la gestión demuestra solidez en la aplicación de los lineamientos y una buena base en la redacción. Con pequeños ajustes en el tono y la conexión emocional, se puede elevar aún más la experiencia del ciudadano y consolidar la excelencia en el servicio."/>
    <m/>
    <m/>
    <m/>
    <s v="Luisa Fernanda Benavides Castrillon"/>
    <x v="0"/>
    <s v="John Sebastian Roncancio Avendaño"/>
    <n v="0.95"/>
    <x v="3"/>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0"/>
    <x v="5"/>
    <m/>
    <s v="Enero"/>
    <x v="17"/>
    <m/>
    <x v="19"/>
    <s v=" "/>
    <m/>
    <m/>
    <m/>
    <m/>
    <m/>
    <n v="1"/>
    <m/>
    <m/>
    <m/>
    <m/>
    <n v="1"/>
    <m/>
    <m/>
    <m/>
    <m/>
    <m/>
    <m/>
    <n v="1.000000000000002"/>
    <m/>
    <m/>
    <n v="1"/>
    <x v="0"/>
    <n v="0"/>
    <n v="0"/>
    <s v="-"/>
    <s v="-"/>
    <s v="-"/>
    <m/>
    <m/>
    <m/>
    <m/>
    <s v=" "/>
    <x v="0"/>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n v="0.95"/>
    <x v="4"/>
  </r>
  <r>
    <s v=" "/>
    <x v="48"/>
    <s v="0"/>
    <x v="1"/>
    <x v="5"/>
    <m/>
    <s v="Enero"/>
    <x v="17"/>
    <m/>
    <x v="19"/>
    <s v=" "/>
    <m/>
    <m/>
    <m/>
    <m/>
    <m/>
    <n v="1"/>
    <m/>
    <m/>
    <m/>
    <m/>
    <n v="1"/>
    <m/>
    <m/>
    <m/>
    <m/>
    <m/>
    <m/>
    <n v="1.000000000000002"/>
    <m/>
    <m/>
    <n v="1"/>
    <x v="0"/>
    <n v="0"/>
    <n v="0"/>
    <s v="-"/>
    <s v="-"/>
    <s v="-"/>
    <m/>
    <m/>
    <m/>
    <m/>
    <s v=" "/>
    <x v="1"/>
    <s v=" "/>
    <m/>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2" cacheId="22"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9" rowHeaderCaption="Monitoreos por área ">
  <location ref="C60:D62" firstHeaderRow="1" firstDataRow="1" firstDataCol="1"/>
  <pivotFields count="48">
    <pivotField showAll="0"/>
    <pivotField showAll="0"/>
    <pivotField showAll="0"/>
    <pivotField axis="axisRow" dataField="1" showAll="0">
      <items count="4">
        <item h="1" x="1"/>
        <item x="0"/>
        <item m="1" x="2"/>
        <item t="default"/>
      </items>
    </pivotField>
    <pivotField showAll="0">
      <items count="10">
        <item x="2"/>
        <item m="1" x="7"/>
        <item m="1" x="8"/>
        <item h="1" x="5"/>
        <item h="1" m="1" x="6"/>
        <item h="1" x="1"/>
        <item h="1" x="0"/>
        <item h="1" x="3"/>
        <item h="1" x="4"/>
        <item t="default"/>
      </items>
    </pivotField>
    <pivotField showAll="0"/>
    <pivotField showAll="0"/>
    <pivotField showAll="0">
      <items count="66">
        <item m="1" x="62"/>
        <item m="1" x="63"/>
        <item m="1" x="61"/>
        <item m="1" x="60"/>
        <item m="1" x="64"/>
        <item x="17"/>
        <item m="1" x="39"/>
        <item m="1" x="43"/>
        <item m="1" x="40"/>
        <item m="1" x="41"/>
        <item m="1" x="42"/>
        <item m="1" x="44"/>
        <item m="1" x="45"/>
        <item m="1" x="46"/>
        <item m="1" x="47"/>
        <item m="1" x="48"/>
        <item m="1" x="49"/>
        <item m="1" x="50"/>
        <item m="1" x="51"/>
        <item m="1" x="52"/>
        <item m="1" x="53"/>
        <item m="1" x="54"/>
        <item m="1" x="55"/>
        <item m="1" x="56"/>
        <item m="1" x="57"/>
        <item m="1" x="58"/>
        <item m="1" x="59"/>
        <item m="1" x="18"/>
        <item m="1" x="19"/>
        <item m="1" x="20"/>
        <item m="1" x="21"/>
        <item m="1" x="22"/>
        <item m="1" x="23"/>
        <item m="1" x="24"/>
        <item m="1" x="25"/>
        <item m="1" x="26"/>
        <item m="1" x="27"/>
        <item m="1" x="28"/>
        <item m="1" x="29"/>
        <item m="1" x="30"/>
        <item m="1" x="31"/>
        <item m="1" x="32"/>
        <item m="1" x="33"/>
        <item m="1" x="34"/>
        <item m="1" x="35"/>
        <item m="1" x="36"/>
        <item m="1" x="37"/>
        <item m="1" x="3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3"/>
  </rowFields>
  <rowItems count="2">
    <i>
      <x v="1"/>
    </i>
    <i t="grand">
      <x/>
    </i>
  </rowItems>
  <colItems count="1">
    <i/>
  </colItems>
  <dataFields count="1">
    <dataField name="Cuenta de Tipo de Monitoreo" fld="3" subtotal="count" showDataAs="percentOfTotal" baseField="3" baseItem="1" numFmtId="10"/>
  </dataFields>
  <formats count="33">
    <format dxfId="797">
      <pivotArea dataOnly="0" labelOnly="1" outline="0" axis="axisValues" fieldPosition="0"/>
    </format>
    <format dxfId="796">
      <pivotArea dataOnly="0" labelOnly="1" outline="0" axis="axisValues" fieldPosition="0"/>
    </format>
    <format dxfId="795">
      <pivotArea dataOnly="0" labelOnly="1" outline="0" axis="axisValues" fieldPosition="0"/>
    </format>
    <format dxfId="794">
      <pivotArea field="4" type="button" dataOnly="0" labelOnly="1" outline="0"/>
    </format>
    <format dxfId="793">
      <pivotArea field="4" type="button" dataOnly="0" labelOnly="1" outline="0"/>
    </format>
    <format dxfId="792">
      <pivotArea field="4" type="button" dataOnly="0" labelOnly="1" outline="0"/>
    </format>
    <format dxfId="791">
      <pivotArea outline="0" collapsedLevelsAreSubtotals="1" fieldPosition="0"/>
    </format>
    <format dxfId="790">
      <pivotArea dataOnly="0" labelOnly="1" grandRow="1" outline="0" fieldPosition="0"/>
    </format>
    <format dxfId="789">
      <pivotArea outline="0" collapsedLevelsAreSubtotals="1" fieldPosition="0"/>
    </format>
    <format dxfId="788">
      <pivotArea dataOnly="0" labelOnly="1" grandRow="1" outline="0" fieldPosition="0"/>
    </format>
    <format dxfId="787">
      <pivotArea type="all" dataOnly="0" outline="0" fieldPosition="0"/>
    </format>
    <format dxfId="786">
      <pivotArea outline="0" collapsedLevelsAreSubtotals="1" fieldPosition="0"/>
    </format>
    <format dxfId="785">
      <pivotArea field="4" type="button" dataOnly="0" labelOnly="1" outline="0"/>
    </format>
    <format dxfId="784">
      <pivotArea dataOnly="0" labelOnly="1" grandRow="1" outline="0" fieldPosition="0"/>
    </format>
    <format dxfId="783">
      <pivotArea dataOnly="0" labelOnly="1" outline="0" axis="axisValues" fieldPosition="0"/>
    </format>
    <format dxfId="782">
      <pivotArea outline="0" fieldPosition="0">
        <references count="1">
          <reference field="4294967294" count="1">
            <x v="0"/>
          </reference>
        </references>
      </pivotArea>
    </format>
    <format dxfId="781">
      <pivotArea type="all" dataOnly="0" outline="0" fieldPosition="0"/>
    </format>
    <format dxfId="780">
      <pivotArea outline="0" collapsedLevelsAreSubtotals="1" fieldPosition="0"/>
    </format>
    <format dxfId="779">
      <pivotArea field="3" type="button" dataOnly="0" labelOnly="1" outline="0" axis="axisRow" fieldPosition="0"/>
    </format>
    <format dxfId="778">
      <pivotArea dataOnly="0" labelOnly="1" fieldPosition="0">
        <references count="1">
          <reference field="3" count="0"/>
        </references>
      </pivotArea>
    </format>
    <format dxfId="777">
      <pivotArea dataOnly="0" labelOnly="1" grandRow="1" outline="0" fieldPosition="0"/>
    </format>
    <format dxfId="776">
      <pivotArea dataOnly="0" labelOnly="1" outline="0" axis="axisValues" fieldPosition="0"/>
    </format>
    <format dxfId="775">
      <pivotArea type="all" dataOnly="0" outline="0" fieldPosition="0"/>
    </format>
    <format dxfId="774">
      <pivotArea outline="0" collapsedLevelsAreSubtotals="1" fieldPosition="0"/>
    </format>
    <format dxfId="773">
      <pivotArea field="3" type="button" dataOnly="0" labelOnly="1" outline="0" axis="axisRow" fieldPosition="0"/>
    </format>
    <format dxfId="772">
      <pivotArea dataOnly="0" labelOnly="1" grandRow="1" outline="0" fieldPosition="0"/>
    </format>
    <format dxfId="771">
      <pivotArea dataOnly="0" labelOnly="1" outline="0" axis="axisValues" fieldPosition="0"/>
    </format>
    <format dxfId="770">
      <pivotArea type="all" dataOnly="0" outline="0" fieldPosition="0"/>
    </format>
    <format dxfId="769">
      <pivotArea outline="0" collapsedLevelsAreSubtotals="1" fieldPosition="0"/>
    </format>
    <format dxfId="768">
      <pivotArea field="3" type="button" dataOnly="0" labelOnly="1" outline="0" axis="axisRow" fieldPosition="0"/>
    </format>
    <format dxfId="767">
      <pivotArea dataOnly="0" labelOnly="1" grandRow="1" outline="0" fieldPosition="0"/>
    </format>
    <format dxfId="766">
      <pivotArea dataOnly="0" labelOnly="1" outline="0" axis="axisValues" fieldPosition="0"/>
    </format>
    <format dxfId="765">
      <pivotArea collapsedLevelsAreSubtotals="1" fieldPosition="0">
        <references count="1">
          <reference field="3" count="0"/>
        </references>
      </pivotArea>
    </format>
  </formats>
  <chartFormats count="2">
    <chartFormat chart="6" format="0" series="1">
      <pivotArea type="data" outline="0" fieldPosition="0">
        <references count="1">
          <reference field="4294967294" count="1" selected="0">
            <x v="0"/>
          </reference>
        </references>
      </pivotArea>
    </chartFormat>
    <chartFormat chart="6" format="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3000000}" name="TablaDinámica1" cacheId="22"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8" rowHeaderCaption="Monitoreos por área ">
  <location ref="H33:J39" firstHeaderRow="0" firstDataRow="1" firstDataCol="1" rowPageCount="1" colPageCount="1"/>
  <pivotFields count="48">
    <pivotField showAll="0"/>
    <pivotField dataField="1" showAll="0"/>
    <pivotField showAll="0"/>
    <pivotField showAll="0"/>
    <pivotField axis="axisRow" dataField="1" showAll="0">
      <items count="10">
        <item x="2"/>
        <item m="1" x="7"/>
        <item m="1" x="8"/>
        <item h="1" x="5"/>
        <item m="1" x="6"/>
        <item x="1"/>
        <item x="0"/>
        <item x="3"/>
        <item x="4"/>
        <item t="default"/>
      </items>
    </pivotField>
    <pivotField showAll="0"/>
    <pivotField showAll="0"/>
    <pivotField showAll="0">
      <items count="66">
        <item m="1" x="62"/>
        <item m="1" x="63"/>
        <item m="1" x="61"/>
        <item m="1" x="60"/>
        <item m="1" x="64"/>
        <item x="17"/>
        <item m="1" x="39"/>
        <item m="1" x="43"/>
        <item m="1" x="40"/>
        <item m="1" x="41"/>
        <item m="1" x="42"/>
        <item m="1" x="44"/>
        <item m="1" x="45"/>
        <item m="1" x="46"/>
        <item m="1" x="47"/>
        <item m="1" x="48"/>
        <item m="1" x="49"/>
        <item m="1" x="50"/>
        <item m="1" x="51"/>
        <item m="1" x="52"/>
        <item m="1" x="53"/>
        <item m="1" x="54"/>
        <item m="1" x="55"/>
        <item m="1" x="56"/>
        <item m="1" x="57"/>
        <item m="1" x="58"/>
        <item m="1" x="59"/>
        <item m="1" x="18"/>
        <item m="1" x="19"/>
        <item m="1" x="20"/>
        <item m="1" x="21"/>
        <item m="1" x="22"/>
        <item m="1" x="23"/>
        <item m="1" x="24"/>
        <item m="1" x="25"/>
        <item m="1" x="26"/>
        <item m="1" x="27"/>
        <item m="1" x="28"/>
        <item m="1" x="29"/>
        <item m="1" x="30"/>
        <item m="1" x="31"/>
        <item m="1" x="32"/>
        <item m="1" x="33"/>
        <item m="1" x="34"/>
        <item m="1" x="35"/>
        <item m="1" x="36"/>
        <item m="1" x="37"/>
        <item m="1" x="3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numFmtId="9" showAll="0"/>
    <pivotField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m="1" x="2"/>
        <item h="1" x="1"/>
        <item t="default"/>
      </items>
    </pivotField>
    <pivotField showAll="0"/>
    <pivotField numFmtId="9" showAll="0"/>
    <pivotField numFmtId="4" showAll="0"/>
    <pivotField showAll="0">
      <items count="15">
        <item x="0"/>
        <item x="1"/>
        <item x="2"/>
        <item x="3"/>
        <item x="4"/>
        <item x="5"/>
        <item x="6"/>
        <item x="7"/>
        <item x="8"/>
        <item x="9"/>
        <item x="10"/>
        <item x="11"/>
        <item x="12"/>
        <item x="13"/>
        <item t="default"/>
      </items>
    </pivotField>
  </pivotFields>
  <rowFields count="1">
    <field x="4"/>
  </rowFields>
  <rowItems count="6">
    <i>
      <x/>
    </i>
    <i>
      <x v="5"/>
    </i>
    <i>
      <x v="6"/>
    </i>
    <i>
      <x v="7"/>
    </i>
    <i>
      <x v="8"/>
    </i>
    <i t="grand">
      <x/>
    </i>
  </rowItems>
  <colFields count="1">
    <field x="-2"/>
  </colFields>
  <colItems count="2">
    <i>
      <x/>
    </i>
    <i i="1">
      <x v="1"/>
    </i>
  </colItems>
  <pageFields count="1">
    <pageField fld="43" hier="-1"/>
  </pageFields>
  <dataFields count="2">
    <dataField name="Cantidad Monitoreos" fld="1" subtotal="count" baseField="4" baseItem="5"/>
    <dataField name="% de monitoreos" fld="4" subtotal="count" showDataAs="percentOfTotal" baseField="4" baseItem="0" numFmtId="10"/>
  </dataFields>
  <formats count="31">
    <format dxfId="828">
      <pivotArea dataOnly="0" labelOnly="1" outline="0" axis="axisValues" fieldPosition="0"/>
    </format>
    <format dxfId="827">
      <pivotArea dataOnly="0" labelOnly="1" outline="0" axis="axisValues" fieldPosition="0"/>
    </format>
    <format dxfId="826">
      <pivotArea dataOnly="0" labelOnly="1" outline="0" axis="axisValues" fieldPosition="0"/>
    </format>
    <format dxfId="825">
      <pivotArea field="4" type="button" dataOnly="0" labelOnly="1" outline="0" axis="axisRow" fieldPosition="0"/>
    </format>
    <format dxfId="824">
      <pivotArea field="4" type="button" dataOnly="0" labelOnly="1" outline="0" axis="axisRow" fieldPosition="0"/>
    </format>
    <format dxfId="823">
      <pivotArea field="4" type="button" dataOnly="0" labelOnly="1" outline="0" axis="axisRow" fieldPosition="0"/>
    </format>
    <format dxfId="822">
      <pivotArea outline="0" collapsedLevelsAreSubtotals="1" fieldPosition="0"/>
    </format>
    <format dxfId="821">
      <pivotArea dataOnly="0" labelOnly="1" fieldPosition="0">
        <references count="1">
          <reference field="4" count="0"/>
        </references>
      </pivotArea>
    </format>
    <format dxfId="820">
      <pivotArea dataOnly="0" labelOnly="1" grandRow="1" outline="0" fieldPosition="0"/>
    </format>
    <format dxfId="819">
      <pivotArea outline="0" collapsedLevelsAreSubtotals="1" fieldPosition="0"/>
    </format>
    <format dxfId="818">
      <pivotArea dataOnly="0" labelOnly="1" fieldPosition="0">
        <references count="1">
          <reference field="4" count="0"/>
        </references>
      </pivotArea>
    </format>
    <format dxfId="817">
      <pivotArea dataOnly="0" labelOnly="1" grandRow="1" outline="0" fieldPosition="0"/>
    </format>
    <format dxfId="816">
      <pivotArea type="all" dataOnly="0" outline="0" fieldPosition="0"/>
    </format>
    <format dxfId="815">
      <pivotArea outline="0" collapsedLevelsAreSubtotals="1" fieldPosition="0"/>
    </format>
    <format dxfId="814">
      <pivotArea field="4" type="button" dataOnly="0" labelOnly="1" outline="0" axis="axisRow" fieldPosition="0"/>
    </format>
    <format dxfId="813">
      <pivotArea dataOnly="0" labelOnly="1" fieldPosition="0">
        <references count="1">
          <reference field="4" count="0"/>
        </references>
      </pivotArea>
    </format>
    <format dxfId="812">
      <pivotArea dataOnly="0" labelOnly="1" grandRow="1" outline="0" fieldPosition="0"/>
    </format>
    <format dxfId="811">
      <pivotArea dataOnly="0" labelOnly="1" outline="0" axis="axisValues" fieldPosition="0"/>
    </format>
    <format dxfId="810">
      <pivotArea field="4" type="button" dataOnly="0" labelOnly="1" outline="0" axis="axisRow" fieldPosition="0"/>
    </format>
    <format dxfId="809">
      <pivotArea dataOnly="0" labelOnly="1" outline="0" axis="axisValues" fieldPosition="0"/>
    </format>
    <format dxfId="808">
      <pivotArea dataOnly="0" labelOnly="1" fieldPosition="0">
        <references count="1">
          <reference field="4" count="1">
            <x v="4"/>
          </reference>
        </references>
      </pivotArea>
    </format>
    <format dxfId="807">
      <pivotArea collapsedLevelsAreSubtotals="1" fieldPosition="0">
        <references count="1">
          <reference field="4" count="0"/>
        </references>
      </pivotArea>
    </format>
    <format dxfId="806">
      <pivotArea dataOnly="0" labelOnly="1" fieldPosition="0">
        <references count="1">
          <reference field="4" count="1">
            <x v="5"/>
          </reference>
        </references>
      </pivotArea>
    </format>
    <format dxfId="805">
      <pivotArea field="4" type="button" dataOnly="0" labelOnly="1" outline="0" axis="axisRow" fieldPosition="0"/>
    </format>
    <format dxfId="804">
      <pivotArea dataOnly="0" labelOnly="1" outline="0" fieldPosition="0">
        <references count="1">
          <reference field="4294967294" count="2">
            <x v="0"/>
            <x v="1"/>
          </reference>
        </references>
      </pivotArea>
    </format>
    <format dxfId="803">
      <pivotArea field="4" type="button" dataOnly="0" labelOnly="1" outline="0" axis="axisRow" fieldPosition="0"/>
    </format>
    <format dxfId="802">
      <pivotArea dataOnly="0" labelOnly="1" outline="0" fieldPosition="0">
        <references count="1">
          <reference field="4294967294" count="2">
            <x v="0"/>
            <x v="1"/>
          </reference>
        </references>
      </pivotArea>
    </format>
    <format dxfId="801">
      <pivotArea field="4" type="button" dataOnly="0" labelOnly="1" outline="0" axis="axisRow" fieldPosition="0"/>
    </format>
    <format dxfId="800">
      <pivotArea dataOnly="0" labelOnly="1" outline="0" fieldPosition="0">
        <references count="1">
          <reference field="4294967294" count="2">
            <x v="0"/>
            <x v="1"/>
          </reference>
        </references>
      </pivotArea>
    </format>
    <format dxfId="799">
      <pivotArea field="4" type="button" dataOnly="0" labelOnly="1" outline="0" axis="axisRow" fieldPosition="0"/>
    </format>
    <format dxfId="798">
      <pivotArea dataOnly="0" labelOnly="1" outline="0" fieldPosition="0">
        <references count="1">
          <reference field="4294967294" count="2">
            <x v="0"/>
            <x v="1"/>
          </reference>
        </references>
      </pivotArea>
    </format>
  </formats>
  <chartFormats count="13">
    <chartFormat chart="1" format="0" series="1">
      <pivotArea type="data" outline="0" fieldPosition="0">
        <references count="1">
          <reference field="4294967294" count="1" selected="0">
            <x v="1"/>
          </reference>
        </references>
      </pivotArea>
    </chartFormat>
    <chartFormat chart="1" format="1">
      <pivotArea type="data" outline="0" fieldPosition="0">
        <references count="1">
          <reference field="4294967294" count="1" selected="0">
            <x v="1"/>
          </reference>
        </references>
      </pivotArea>
    </chartFormat>
    <chartFormat chart="1" format="2" series="1">
      <pivotArea type="data" outline="0" fieldPosition="0">
        <references count="1">
          <reference field="4294967294" count="1" selected="0">
            <x v="0"/>
          </reference>
        </references>
      </pivotArea>
    </chartFormat>
    <chartFormat chart="1" format="3">
      <pivotArea type="data" outline="0" fieldPosition="0">
        <references count="2">
          <reference field="4294967294" count="1" selected="0">
            <x v="0"/>
          </reference>
          <reference field="4" count="1" selected="0">
            <x v="0"/>
          </reference>
        </references>
      </pivotArea>
    </chartFormat>
    <chartFormat chart="1" format="4">
      <pivotArea type="data" outline="0" fieldPosition="0">
        <references count="2">
          <reference field="4294967294" count="1" selected="0">
            <x v="0"/>
          </reference>
          <reference field="4" count="1" selected="0">
            <x v="5"/>
          </reference>
        </references>
      </pivotArea>
    </chartFormat>
    <chartFormat chart="1" format="5">
      <pivotArea type="data" outline="0" fieldPosition="0">
        <references count="2">
          <reference field="4294967294" count="1" selected="0">
            <x v="0"/>
          </reference>
          <reference field="4" count="1" selected="0">
            <x v="6"/>
          </reference>
        </references>
      </pivotArea>
    </chartFormat>
    <chartFormat chart="1" format="6">
      <pivotArea type="data" outline="0" fieldPosition="0">
        <references count="2">
          <reference field="4294967294" count="1" selected="0">
            <x v="0"/>
          </reference>
          <reference field="4" count="1" selected="0">
            <x v="7"/>
          </reference>
        </references>
      </pivotArea>
    </chartFormat>
    <chartFormat chart="1" format="7">
      <pivotArea type="data" outline="0" fieldPosition="0">
        <references count="2">
          <reference field="4294967294" count="1" selected="0">
            <x v="0"/>
          </reference>
          <reference field="4" count="1" selected="0">
            <x v="8"/>
          </reference>
        </references>
      </pivotArea>
    </chartFormat>
    <chartFormat chart="1" format="8">
      <pivotArea type="data" outline="0" fieldPosition="0">
        <references count="2">
          <reference field="4294967294" count="1" selected="0">
            <x v="1"/>
          </reference>
          <reference field="4" count="1" selected="0">
            <x v="0"/>
          </reference>
        </references>
      </pivotArea>
    </chartFormat>
    <chartFormat chart="1" format="9">
      <pivotArea type="data" outline="0" fieldPosition="0">
        <references count="2">
          <reference field="4294967294" count="1" selected="0">
            <x v="1"/>
          </reference>
          <reference field="4" count="1" selected="0">
            <x v="5"/>
          </reference>
        </references>
      </pivotArea>
    </chartFormat>
    <chartFormat chart="1" format="10">
      <pivotArea type="data" outline="0" fieldPosition="0">
        <references count="2">
          <reference field="4294967294" count="1" selected="0">
            <x v="1"/>
          </reference>
          <reference field="4" count="1" selected="0">
            <x v="6"/>
          </reference>
        </references>
      </pivotArea>
    </chartFormat>
    <chartFormat chart="1" format="11">
      <pivotArea type="data" outline="0" fieldPosition="0">
        <references count="2">
          <reference field="4294967294" count="1" selected="0">
            <x v="1"/>
          </reference>
          <reference field="4" count="1" selected="0">
            <x v="7"/>
          </reference>
        </references>
      </pivotArea>
    </chartFormat>
    <chartFormat chart="1" format="12">
      <pivotArea type="data" outline="0" fieldPosition="0">
        <references count="2">
          <reference field="4294967294" count="1" selected="0">
            <x v="1"/>
          </reference>
          <reference field="4"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2000000}" name="TablaDinámica4" cacheId="22" applyNumberFormats="0" applyBorderFormats="0" applyFontFormats="0" applyPatternFormats="0" applyAlignmentFormats="0" applyWidthHeightFormats="1" dataCaption="Valores" grandTotalCaption="Total" updatedVersion="8" itemPrintTitles="1" createdVersion="8" indent="0" compact="0" compactData="0" multipleFieldFilters="0" chartFormat="28" rowHeaderCaption="Semana" colHeaderCaption=" ">
  <location ref="H7:K8" firstHeaderRow="0" firstDataRow="1" firstDataCol="0" rowPageCount="1" colPageCount="1"/>
  <pivotFields count="48">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howAll="0" defaultSubtotal="0"/>
    <pivotField compact="0" outline="0" showAll="0" defaultSubtotal="0">
      <items count="65">
        <item m="1" x="62"/>
        <item m="1" x="63"/>
        <item m="1" x="61"/>
        <item m="1" x="60"/>
        <item m="1" x="64"/>
        <item x="17"/>
        <item m="1" x="39"/>
        <item m="1" x="43"/>
        <item m="1" x="40"/>
        <item m="1" x="41"/>
        <item m="1" x="42"/>
        <item m="1" x="44"/>
        <item m="1" x="45"/>
        <item m="1" x="46"/>
        <item m="1" x="47"/>
        <item m="1" x="48"/>
        <item m="1" x="49"/>
        <item m="1" x="50"/>
        <item m="1" x="51"/>
        <item m="1" x="52"/>
        <item m="1" x="53"/>
        <item m="1" x="54"/>
        <item m="1" x="55"/>
        <item m="1" x="56"/>
        <item m="1" x="57"/>
        <item m="1" x="58"/>
        <item m="1" x="59"/>
        <item m="1" x="18"/>
        <item m="1" x="19"/>
        <item m="1" x="20"/>
        <item m="1" x="21"/>
        <item m="1" x="22"/>
        <item m="1" x="23"/>
        <item m="1" x="24"/>
        <item m="1" x="25"/>
        <item m="1" x="26"/>
        <item m="1" x="27"/>
        <item m="1" x="28"/>
        <item m="1" x="29"/>
        <item m="1" x="30"/>
        <item m="1" x="31"/>
        <item m="1" x="32"/>
        <item m="1" x="33"/>
        <item m="1" x="34"/>
        <item m="1" x="35"/>
        <item m="1" x="36"/>
        <item m="1" x="37"/>
        <item m="1" x="38"/>
        <item x="0"/>
        <item x="1"/>
        <item x="2"/>
        <item x="3"/>
        <item x="4"/>
        <item x="5"/>
        <item x="6"/>
        <item x="7"/>
        <item x="8"/>
        <item x="9"/>
        <item x="10"/>
        <item x="11"/>
        <item x="12"/>
        <item x="13"/>
        <item x="14"/>
        <item x="15"/>
        <item x="16"/>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numFmtId="166"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dataField="1" compact="0" outline="0" showAll="0" defaultSubtotal="0"/>
    <pivotField compact="0" numFmtId="9"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Page" compact="0" outline="0" multipleItemSelectionAllowed="1" showAll="0" defaultSubtotal="0">
      <items count="3">
        <item h="1" x="1"/>
        <item h="1" m="1" x="2"/>
        <item x="0"/>
      </items>
    </pivotField>
    <pivotField compact="0" outline="0" showAll="0" defaultSubtotal="0"/>
    <pivotField compact="0" numFmtId="9" outline="0" showAll="0" defaultSubtotal="0"/>
    <pivotField compact="0" numFmtId="4" outline="0" showAll="0" defaultSubtotal="0">
      <items count="6">
        <item x="4"/>
        <item x="2"/>
        <item m="1" x="5"/>
        <item x="1"/>
        <item x="3"/>
        <item x="0"/>
      </items>
    </pivotField>
    <pivotField compact="0" outline="0" subtotalTop="0" showAll="0" defaultSubtotal="0">
      <items count="14">
        <item x="0"/>
        <item x="1"/>
        <item x="2"/>
        <item x="3"/>
        <item x="4"/>
        <item x="5"/>
        <item x="6"/>
        <item x="7"/>
        <item x="8"/>
        <item x="9"/>
        <item x="10"/>
        <item x="11"/>
        <item x="12"/>
        <item x="13"/>
      </items>
    </pivotField>
  </pivotFields>
  <rowItems count="1">
    <i/>
  </rowItems>
  <colFields count="1">
    <field x="-2"/>
  </colFields>
  <colItems count="4">
    <i>
      <x/>
    </i>
    <i i="1">
      <x v="1"/>
    </i>
    <i i="2">
      <x v="2"/>
    </i>
    <i i="3">
      <x v="3"/>
    </i>
  </colItems>
  <pageFields count="1">
    <pageField fld="43" hier="-1"/>
  </pageFields>
  <dataFields count="4">
    <dataField name="Promedio de No critico" fld="16" subtotal="average" baseField="27" baseItem="0" numFmtId="166"/>
    <dataField name="Promedio de Error Crítico de Usuario Final" fld="21" subtotal="average" baseField="27" baseItem="0"/>
    <dataField name="Promedio de Error Crítico de cumplimiento" fld="31" subtotal="average" baseField="27" baseItem="0"/>
    <dataField name="Promedio de Error critico de negocio" fld="28" subtotal="average" baseField="27" baseItem="0"/>
  </dataFields>
  <formats count="22">
    <format dxfId="850">
      <pivotArea outline="0" collapsedLevelsAreSubtotals="1" fieldPosition="0"/>
    </format>
    <format dxfId="849">
      <pivotArea type="all" dataOnly="0" outline="0" fieldPosition="0"/>
    </format>
    <format dxfId="848">
      <pivotArea outline="0" collapsedLevelsAreSubtotals="1" fieldPosition="0"/>
    </format>
    <format dxfId="847">
      <pivotArea field="46" type="button" dataOnly="0" labelOnly="1" outline="0"/>
    </format>
    <format dxfId="846">
      <pivotArea dataOnly="0" labelOnly="1" grandRow="1" outline="0" fieldPosition="0"/>
    </format>
    <format dxfId="845">
      <pivotArea dataOnly="0" labelOnly="1" outline="0" axis="axisValues" fieldPosition="0"/>
    </format>
    <format dxfId="844">
      <pivotArea type="all" dataOnly="0" outline="0" fieldPosition="0"/>
    </format>
    <format dxfId="843">
      <pivotArea dataOnly="0" labelOnly="1" outline="0" fieldPosition="0">
        <references count="1">
          <reference field="4294967294" count="4">
            <x v="0"/>
            <x v="1"/>
            <x v="2"/>
            <x v="3"/>
          </reference>
        </references>
      </pivotArea>
    </format>
    <format dxfId="842">
      <pivotArea dataOnly="0" labelOnly="1" outline="0" fieldPosition="0">
        <references count="1">
          <reference field="4294967294" count="3">
            <x v="1"/>
            <x v="2"/>
            <x v="3"/>
          </reference>
        </references>
      </pivotArea>
    </format>
    <format dxfId="841">
      <pivotArea dataOnly="0" labelOnly="1" outline="0" fieldPosition="0">
        <references count="1">
          <reference field="4294967294" count="1">
            <x v="0"/>
          </reference>
        </references>
      </pivotArea>
    </format>
    <format dxfId="840">
      <pivotArea type="all" dataOnly="0" outline="0" fieldPosition="0"/>
    </format>
    <format dxfId="839">
      <pivotArea dataOnly="0" labelOnly="1" outline="0" fieldPosition="0">
        <references count="1">
          <reference field="4294967294" count="4">
            <x v="0"/>
            <x v="1"/>
            <x v="2"/>
            <x v="3"/>
          </reference>
        </references>
      </pivotArea>
    </format>
    <format dxfId="838">
      <pivotArea dataOnly="0" labelOnly="1" outline="0" fieldPosition="0">
        <references count="1">
          <reference field="4294967294" count="4">
            <x v="0"/>
            <x v="1"/>
            <x v="2"/>
            <x v="3"/>
          </reference>
        </references>
      </pivotArea>
    </format>
    <format dxfId="837">
      <pivotArea type="all" dataOnly="0" outline="0" fieldPosition="0"/>
    </format>
    <format dxfId="836">
      <pivotArea outline="0" collapsedLevelsAreSubtotals="1" fieldPosition="0"/>
    </format>
    <format dxfId="835">
      <pivotArea dataOnly="0" outline="0" fieldPosition="0">
        <references count="1">
          <reference field="4294967294" count="4">
            <x v="0"/>
            <x v="1"/>
            <x v="2"/>
            <x v="3"/>
          </reference>
        </references>
      </pivotArea>
    </format>
    <format dxfId="834">
      <pivotArea field="43" type="button" dataOnly="0" labelOnly="1" outline="0" axis="axisPage" fieldPosition="0"/>
    </format>
    <format dxfId="833">
      <pivotArea field="43" type="button" dataOnly="0" labelOnly="1" outline="0" axis="axisPage" fieldPosition="0"/>
    </format>
    <format dxfId="832">
      <pivotArea dataOnly="0" labelOnly="1" outline="0" fieldPosition="0">
        <references count="1">
          <reference field="43" count="0"/>
        </references>
      </pivotArea>
    </format>
    <format dxfId="831">
      <pivotArea dataOnly="0" labelOnly="1" outline="0" fieldPosition="0">
        <references count="1">
          <reference field="43" count="0"/>
        </references>
      </pivotArea>
    </format>
    <format dxfId="830">
      <pivotArea dataOnly="0" labelOnly="1" outline="0" fieldPosition="0">
        <references count="1">
          <reference field="4294967294" count="4">
            <x v="0"/>
            <x v="1"/>
            <x v="2"/>
            <x v="3"/>
          </reference>
        </references>
      </pivotArea>
    </format>
    <format dxfId="829">
      <pivotArea outline="0" collapsedLevelsAreSubtotals="1" fieldPosition="0"/>
    </format>
  </formats>
  <chartFormats count="4">
    <chartFormat chart="9"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1"/>
          </reference>
        </references>
      </pivotArea>
    </chartFormat>
    <chartFormat chart="9" format="2" series="1">
      <pivotArea type="data" outline="0" fieldPosition="0">
        <references count="1">
          <reference field="4294967294" count="1" selected="0">
            <x v="2"/>
          </reference>
        </references>
      </pivotArea>
    </chartFormat>
    <chartFormat chart="9"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TablaDinámica3" cacheId="22" applyNumberFormats="0" applyBorderFormats="0" applyFontFormats="0" applyPatternFormats="0" applyAlignmentFormats="0" applyWidthHeightFormats="1" dataCaption="Valores" grandTotalCaption="Total" updatedVersion="8" itemPrintTitles="1" createdVersion="8" indent="0" outline="1" outlineData="1" multipleFieldFilters="0" chartFormat="10" rowHeaderCaption="Semana" colHeaderCaption=" ">
  <location ref="C33:D38" firstHeaderRow="1" firstDataRow="1" firstDataCol="1" rowPageCount="1" colPageCount="1"/>
  <pivotFields count="48">
    <pivotField showAll="0"/>
    <pivotField showAll="0"/>
    <pivotField showAll="0"/>
    <pivotField showAll="0"/>
    <pivotField showAll="0"/>
    <pivotField showAll="0"/>
    <pivotField showAll="0"/>
    <pivotField showAll="0">
      <items count="66">
        <item m="1" x="62"/>
        <item m="1" x="63"/>
        <item m="1" x="61"/>
        <item m="1" x="60"/>
        <item m="1" x="64"/>
        <item x="17"/>
        <item m="1" x="39"/>
        <item m="1" x="43"/>
        <item m="1" x="40"/>
        <item m="1" x="41"/>
        <item m="1" x="42"/>
        <item m="1" x="44"/>
        <item m="1" x="45"/>
        <item m="1" x="46"/>
        <item m="1" x="47"/>
        <item m="1" x="48"/>
        <item m="1" x="49"/>
        <item m="1" x="50"/>
        <item m="1" x="51"/>
        <item m="1" x="52"/>
        <item m="1" x="53"/>
        <item m="1" x="54"/>
        <item m="1" x="55"/>
        <item m="1" x="56"/>
        <item m="1" x="57"/>
        <item m="1" x="58"/>
        <item m="1" x="59"/>
        <item m="1" x="18"/>
        <item m="1" x="19"/>
        <item m="1" x="20"/>
        <item m="1" x="21"/>
        <item m="1" x="22"/>
        <item m="1" x="23"/>
        <item m="1" x="24"/>
        <item m="1" x="25"/>
        <item m="1" x="26"/>
        <item m="1" x="27"/>
        <item m="1" x="28"/>
        <item m="1" x="29"/>
        <item m="1" x="30"/>
        <item m="1" x="31"/>
        <item m="1" x="32"/>
        <item m="1" x="33"/>
        <item m="1" x="34"/>
        <item m="1" x="35"/>
        <item m="1" x="36"/>
        <item m="1" x="37"/>
        <item m="1" x="38"/>
        <item x="0"/>
        <item x="1"/>
        <item x="2"/>
        <item x="3"/>
        <item x="4"/>
        <item x="5"/>
        <item x="6"/>
        <item x="7"/>
        <item x="8"/>
        <item x="9"/>
        <item x="10"/>
        <item x="11"/>
        <item x="12"/>
        <item x="13"/>
        <item x="14"/>
        <item x="15"/>
        <item x="16"/>
        <item t="default"/>
      </items>
    </pivotField>
    <pivotField showAll="0"/>
    <pivotField showAll="0"/>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h="1" x="1"/>
        <item h="1" m="1" x="2"/>
        <item x="0"/>
        <item t="default"/>
      </items>
    </pivotField>
    <pivotField showAll="0"/>
    <pivotField numFmtId="9" showAll="0"/>
    <pivotField axis="axisRow" numFmtId="4" showAll="0" sortType="ascending">
      <items count="7">
        <item h="1" x="4"/>
        <item m="1" x="5"/>
        <item x="0"/>
        <item x="1"/>
        <item x="2"/>
        <item x="3"/>
        <item t="default"/>
      </items>
    </pivotField>
    <pivotField showAll="0">
      <items count="15">
        <item x="0"/>
        <item x="1"/>
        <item x="2"/>
        <item x="3"/>
        <item x="4"/>
        <item x="5"/>
        <item x="6"/>
        <item x="7"/>
        <item x="8"/>
        <item x="9"/>
        <item x="10"/>
        <item x="11"/>
        <item x="12"/>
        <item x="13"/>
        <item t="default"/>
      </items>
    </pivotField>
  </pivotFields>
  <rowFields count="1">
    <field x="46"/>
  </rowFields>
  <rowItems count="5">
    <i>
      <x v="2"/>
    </i>
    <i>
      <x v="3"/>
    </i>
    <i>
      <x v="4"/>
    </i>
    <i>
      <x v="5"/>
    </i>
    <i t="grand">
      <x/>
    </i>
  </rowItems>
  <colItems count="1">
    <i/>
  </colItems>
  <pageFields count="1">
    <pageField fld="43" hier="-1"/>
  </pageFields>
  <dataFields count="1">
    <dataField name="Promedio de Calificación" fld="32" subtotal="average" baseField="8" baseItem="0" numFmtId="10"/>
  </dataFields>
  <formats count="35">
    <format dxfId="885">
      <pivotArea outline="0" collapsedLevelsAreSubtotals="1" fieldPosition="0"/>
    </format>
    <format dxfId="884">
      <pivotArea type="all" dataOnly="0" outline="0" fieldPosition="0"/>
    </format>
    <format dxfId="883">
      <pivotArea outline="0" collapsedLevelsAreSubtotals="1" fieldPosition="0"/>
    </format>
    <format dxfId="882">
      <pivotArea field="46" type="button" dataOnly="0" labelOnly="1" outline="0" axis="axisRow" fieldPosition="0"/>
    </format>
    <format dxfId="881">
      <pivotArea dataOnly="0" labelOnly="1" fieldPosition="0">
        <references count="1">
          <reference field="46" count="0"/>
        </references>
      </pivotArea>
    </format>
    <format dxfId="880">
      <pivotArea dataOnly="0" labelOnly="1" grandRow="1" outline="0" fieldPosition="0"/>
    </format>
    <format dxfId="879">
      <pivotArea dataOnly="0" labelOnly="1" outline="0" axis="axisValues" fieldPosition="0"/>
    </format>
    <format dxfId="878">
      <pivotArea type="all" dataOnly="0" outline="0" fieldPosition="0"/>
    </format>
    <format dxfId="877">
      <pivotArea field="46" type="button" dataOnly="0" labelOnly="1" outline="0" axis="axisRow" fieldPosition="0"/>
    </format>
    <format dxfId="876">
      <pivotArea dataOnly="0" labelOnly="1" outline="0" axis="axisValues" fieldPosition="0"/>
    </format>
    <format dxfId="875">
      <pivotArea dataOnly="0" labelOnly="1" outline="0" axis="axisValues" fieldPosition="0"/>
    </format>
    <format dxfId="874">
      <pivotArea field="46" type="button" dataOnly="0" labelOnly="1" outline="0" axis="axisRow" fieldPosition="0"/>
    </format>
    <format dxfId="873">
      <pivotArea field="43" type="button" dataOnly="0" labelOnly="1" outline="0" axis="axisPage" fieldPosition="0"/>
    </format>
    <format dxfId="872">
      <pivotArea type="all" dataOnly="0" outline="0" fieldPosition="0"/>
    </format>
    <format dxfId="871">
      <pivotArea outline="0" collapsedLevelsAreSubtotals="1" fieldPosition="0"/>
    </format>
    <format dxfId="870">
      <pivotArea field="46" type="button" dataOnly="0" labelOnly="1" outline="0" axis="axisRow" fieldPosition="0"/>
    </format>
    <format dxfId="869">
      <pivotArea dataOnly="0" labelOnly="1" fieldPosition="0">
        <references count="1">
          <reference field="46" count="2">
            <x v="1"/>
            <x v="3"/>
          </reference>
        </references>
      </pivotArea>
    </format>
    <format dxfId="868">
      <pivotArea dataOnly="0" labelOnly="1" grandRow="1" outline="0" fieldPosition="0"/>
    </format>
    <format dxfId="867">
      <pivotArea dataOnly="0" labelOnly="1" outline="0" axis="axisValues" fieldPosition="0"/>
    </format>
    <format dxfId="866">
      <pivotArea type="all" dataOnly="0" outline="0" fieldPosition="0"/>
    </format>
    <format dxfId="865">
      <pivotArea outline="0" collapsedLevelsAreSubtotals="1" fieldPosition="0"/>
    </format>
    <format dxfId="864">
      <pivotArea field="46" type="button" dataOnly="0" labelOnly="1" outline="0" axis="axisRow" fieldPosition="0"/>
    </format>
    <format dxfId="863">
      <pivotArea dataOnly="0" labelOnly="1" fieldPosition="0">
        <references count="1">
          <reference field="46" count="2">
            <x v="1"/>
            <x v="3"/>
          </reference>
        </references>
      </pivotArea>
    </format>
    <format dxfId="862">
      <pivotArea dataOnly="0" labelOnly="1" grandRow="1" outline="0" fieldPosition="0"/>
    </format>
    <format dxfId="861">
      <pivotArea dataOnly="0" labelOnly="1" outline="0" axis="axisValues" fieldPosition="0"/>
    </format>
    <format dxfId="860">
      <pivotArea field="46" type="button" dataOnly="0" labelOnly="1" outline="0" axis="axisRow" fieldPosition="0"/>
    </format>
    <format dxfId="859">
      <pivotArea dataOnly="0" labelOnly="1" outline="0" axis="axisValues" fieldPosition="0"/>
    </format>
    <format dxfId="858">
      <pivotArea type="all" dataOnly="0" outline="0" fieldPosition="0"/>
    </format>
    <format dxfId="857">
      <pivotArea outline="0" collapsedLevelsAreSubtotals="1" fieldPosition="0"/>
    </format>
    <format dxfId="856">
      <pivotArea field="46" type="button" dataOnly="0" labelOnly="1" outline="0" axis="axisRow" fieldPosition="0"/>
    </format>
    <format dxfId="855">
      <pivotArea dataOnly="0" labelOnly="1" fieldPosition="0">
        <references count="1">
          <reference field="46" count="1">
            <x v="3"/>
          </reference>
        </references>
      </pivotArea>
    </format>
    <format dxfId="854">
      <pivotArea dataOnly="0" labelOnly="1" grandRow="1" outline="0" fieldPosition="0"/>
    </format>
    <format dxfId="853">
      <pivotArea dataOnly="0" labelOnly="1" outline="0" axis="axisValues" fieldPosition="0"/>
    </format>
    <format dxfId="852">
      <pivotArea outline="0" collapsedLevelsAreSubtotals="1" fieldPosition="0"/>
    </format>
    <format dxfId="851">
      <pivotArea dataOnly="0" labelOnly="1" fieldPosition="0">
        <references count="1">
          <reference field="46" count="5">
            <x v="1"/>
            <x v="2"/>
            <x v="3"/>
            <x v="4"/>
            <x v="5"/>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700-000004000000}" name="TablaDinámica1" cacheId="22"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C8:H29" firstHeaderRow="1" firstDataRow="2" firstDataCol="1" rowPageCount="1" colPageCount="1"/>
  <pivotFields count="48">
    <pivotField showAll="0"/>
    <pivotField multipleItemSelectionAllowed="1" showAll="0">
      <items count="50">
        <item h="1" x="48"/>
        <item x="0"/>
        <item x="1"/>
        <item x="2"/>
        <item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t="default"/>
      </items>
    </pivotField>
    <pivotField showAll="0"/>
    <pivotField showAll="0"/>
    <pivotField showAll="0"/>
    <pivotField showAll="0"/>
    <pivotField showAll="0"/>
    <pivotField showAll="0">
      <items count="66">
        <item m="1" x="62"/>
        <item m="1" x="63"/>
        <item m="1" x="61"/>
        <item m="1" x="60"/>
        <item m="1" x="64"/>
        <item x="17"/>
        <item m="1" x="39"/>
        <item m="1" x="43"/>
        <item m="1" x="40"/>
        <item m="1" x="41"/>
        <item m="1" x="42"/>
        <item m="1" x="44"/>
        <item m="1" x="45"/>
        <item m="1" x="46"/>
        <item m="1" x="47"/>
        <item m="1" x="48"/>
        <item m="1" x="49"/>
        <item m="1" x="50"/>
        <item m="1" x="51"/>
        <item m="1" x="52"/>
        <item m="1" x="53"/>
        <item m="1" x="54"/>
        <item m="1" x="55"/>
        <item m="1" x="56"/>
        <item m="1" x="57"/>
        <item m="1" x="58"/>
        <item m="1" x="59"/>
        <item m="1" x="18"/>
        <item m="1" x="19"/>
        <item m="1" x="20"/>
        <item m="1" x="21"/>
        <item m="1" x="22"/>
        <item m="1" x="23"/>
        <item m="1" x="24"/>
        <item m="1" x="25"/>
        <item m="1" x="26"/>
        <item m="1" x="27"/>
        <item m="1" x="28"/>
        <item m="1" x="29"/>
        <item m="1" x="30"/>
        <item m="1" x="31"/>
        <item m="1" x="32"/>
        <item m="1" x="33"/>
        <item m="1" x="34"/>
        <item m="1" x="35"/>
        <item m="1" x="36"/>
        <item m="1" x="37"/>
        <item m="1" x="38"/>
        <item x="0"/>
        <item x="1"/>
        <item x="2"/>
        <item x="3"/>
        <item x="4"/>
        <item x="5"/>
        <item x="6"/>
        <item x="7"/>
        <item x="8"/>
        <item x="9"/>
        <item x="10"/>
        <item x="11"/>
        <item x="12"/>
        <item x="13"/>
        <item x="14"/>
        <item x="15"/>
        <item x="16"/>
        <item t="default"/>
      </items>
    </pivotField>
    <pivotField showAll="0"/>
    <pivotField axis="axisRow" showAll="0" sortType="ascending">
      <items count="24">
        <item x="0"/>
        <item x="17"/>
        <item x="1"/>
        <item x="2"/>
        <item x="18"/>
        <item x="3"/>
        <item x="4"/>
        <item x="5"/>
        <item x="6"/>
        <item x="7"/>
        <item x="8"/>
        <item x="9"/>
        <item x="10"/>
        <item x="11"/>
        <item x="12"/>
        <item m="1" x="20"/>
        <item h="1" m="1" x="21"/>
        <item h="1" m="1" x="22"/>
        <item x="13"/>
        <item x="14"/>
        <item x="15"/>
        <item x="16"/>
        <item h="1" x="19"/>
        <item t="default"/>
      </items>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9"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m="1" x="2"/>
        <item x="1"/>
        <item t="default"/>
      </items>
    </pivotField>
    <pivotField showAll="0"/>
    <pivotField numFmtId="9" showAll="0"/>
    <pivotField axis="axisCol" numFmtId="4" multipleItemSelectionAllowed="1" showAll="0" sortType="ascending">
      <items count="7">
        <item h="1" x="4"/>
        <item m="1" x="5"/>
        <item x="0"/>
        <item x="1"/>
        <item x="2"/>
        <item x="3"/>
        <item t="default"/>
      </items>
    </pivotField>
    <pivotField showAll="0">
      <items count="15">
        <item x="0"/>
        <item x="1"/>
        <item x="2"/>
        <item x="3"/>
        <item x="4"/>
        <item x="5"/>
        <item x="6"/>
        <item x="7"/>
        <item x="8"/>
        <item x="9"/>
        <item x="10"/>
        <item x="11"/>
        <item x="12"/>
        <item x="13"/>
        <item t="default"/>
      </items>
    </pivotField>
  </pivotFields>
  <rowFields count="1">
    <field x="9"/>
  </rowFields>
  <rowItems count="20">
    <i>
      <x/>
    </i>
    <i>
      <x v="1"/>
    </i>
    <i>
      <x v="2"/>
    </i>
    <i>
      <x v="3"/>
    </i>
    <i>
      <x v="4"/>
    </i>
    <i>
      <x v="5"/>
    </i>
    <i>
      <x v="6"/>
    </i>
    <i>
      <x v="7"/>
    </i>
    <i>
      <x v="8"/>
    </i>
    <i>
      <x v="9"/>
    </i>
    <i>
      <x v="10"/>
    </i>
    <i>
      <x v="11"/>
    </i>
    <i>
      <x v="12"/>
    </i>
    <i>
      <x v="13"/>
    </i>
    <i>
      <x v="14"/>
    </i>
    <i>
      <x v="18"/>
    </i>
    <i>
      <x v="19"/>
    </i>
    <i>
      <x v="20"/>
    </i>
    <i>
      <x v="21"/>
    </i>
    <i t="grand">
      <x/>
    </i>
  </rowItems>
  <colFields count="1">
    <field x="46"/>
  </colFields>
  <colItems count="5">
    <i>
      <x v="2"/>
    </i>
    <i>
      <x v="3"/>
    </i>
    <i>
      <x v="4"/>
    </i>
    <i>
      <x v="5"/>
    </i>
    <i t="grand">
      <x/>
    </i>
  </colItems>
  <pageFields count="1">
    <pageField fld="43" hier="-1"/>
  </pageFields>
  <dataFields count="1">
    <dataField name="Promedio de Calificación total" fld="32" subtotal="average" baseField="9" baseItem="0" numFmtId="9"/>
  </dataFields>
  <formats count="76">
    <format dxfId="673">
      <pivotArea outline="0" collapsedLevelsAreSubtotals="1" fieldPosition="0"/>
    </format>
    <format dxfId="672">
      <pivotArea outline="0" collapsedLevelsAreSubtotals="1" fieldPosition="0"/>
    </format>
    <format dxfId="671">
      <pivotArea field="9" type="button" dataOnly="0" labelOnly="1" outline="0" axis="axisRow" fieldPosition="0"/>
    </format>
    <format dxfId="670">
      <pivotArea dataOnly="0" labelOnly="1" grandRow="1" outline="0" fieldPosition="0"/>
    </format>
    <format dxfId="669">
      <pivotArea dataOnly="0" labelOnly="1" grandCol="1" outline="0" fieldPosition="0"/>
    </format>
    <format dxfId="668">
      <pivotArea type="all" dataOnly="0" outline="0" fieldPosition="0"/>
    </format>
    <format dxfId="667">
      <pivotArea outline="0" collapsedLevelsAreSubtotals="1" fieldPosition="0"/>
    </format>
    <format dxfId="666">
      <pivotArea type="origin" dataOnly="0" labelOnly="1" outline="0" fieldPosition="0"/>
    </format>
    <format dxfId="665">
      <pivotArea field="1" type="button" dataOnly="0" labelOnly="1" outline="0"/>
    </format>
    <format dxfId="664">
      <pivotArea type="topRight" dataOnly="0" labelOnly="1" outline="0" fieldPosition="0"/>
    </format>
    <format dxfId="663">
      <pivotArea field="9" type="button" dataOnly="0" labelOnly="1" outline="0" axis="axisRow" fieldPosition="0"/>
    </format>
    <format dxfId="662">
      <pivotArea dataOnly="0" labelOnly="1" grandRow="1" outline="0" fieldPosition="0"/>
    </format>
    <format dxfId="661">
      <pivotArea dataOnly="0" labelOnly="1" grandCol="1" outline="0" fieldPosition="0"/>
    </format>
    <format dxfId="660">
      <pivotArea type="all" dataOnly="0" outline="0" fieldPosition="0"/>
    </format>
    <format dxfId="659">
      <pivotArea outline="0" collapsedLevelsAreSubtotals="1" fieldPosition="0"/>
    </format>
    <format dxfId="658">
      <pivotArea field="1" type="button" dataOnly="0" labelOnly="1" outline="0"/>
    </format>
    <format dxfId="657">
      <pivotArea type="topRight" dataOnly="0" labelOnly="1" outline="0" fieldPosition="0"/>
    </format>
    <format dxfId="656">
      <pivotArea dataOnly="0" labelOnly="1" grandCol="1" outline="0" fieldPosition="0"/>
    </format>
    <format dxfId="655">
      <pivotArea type="origin" dataOnly="0" labelOnly="1" outline="0" fieldPosition="0"/>
    </format>
    <format dxfId="654">
      <pivotArea field="9" type="button" dataOnly="0" labelOnly="1" outline="0" axis="axisRow" fieldPosition="0"/>
    </format>
    <format dxfId="653">
      <pivotArea dataOnly="0" labelOnly="1" grandRow="1" outline="0" fieldPosition="0"/>
    </format>
    <format dxfId="652">
      <pivotArea type="all" dataOnly="0" outline="0" fieldPosition="0"/>
    </format>
    <format dxfId="651">
      <pivotArea outline="0" collapsedLevelsAreSubtotals="1" fieldPosition="0"/>
    </format>
    <format dxfId="650">
      <pivotArea type="origin" dataOnly="0" labelOnly="1" outline="0" fieldPosition="0"/>
    </format>
    <format dxfId="649">
      <pivotArea field="1" type="button" dataOnly="0" labelOnly="1" outline="0"/>
    </format>
    <format dxfId="648">
      <pivotArea type="topRight" dataOnly="0" labelOnly="1" outline="0" fieldPosition="0"/>
    </format>
    <format dxfId="647">
      <pivotArea dataOnly="0" labelOnly="1" grandCol="1" outline="0" fieldPosition="0"/>
    </format>
    <format dxfId="646">
      <pivotArea dataOnly="0" labelOnly="1" fieldPosition="0">
        <references count="1">
          <reference field="46" count="2">
            <x v="1"/>
            <x v="2"/>
          </reference>
        </references>
      </pivotArea>
    </format>
    <format dxfId="645">
      <pivotArea grandRow="1" outline="0" collapsedLevelsAreSubtotals="1" fieldPosition="0"/>
    </format>
    <format dxfId="644">
      <pivotArea outline="0" collapsedLevelsAreSubtotals="1" fieldPosition="0"/>
    </format>
    <format dxfId="643">
      <pivotArea dataOnly="0" labelOnly="1" outline="0" fieldPosition="0">
        <references count="1">
          <reference field="43" count="0"/>
        </references>
      </pivotArea>
    </format>
    <format dxfId="642">
      <pivotArea dataOnly="0" labelOnly="1" fieldPosition="0">
        <references count="1">
          <reference field="46" count="2">
            <x v="1"/>
            <x v="2"/>
          </reference>
        </references>
      </pivotArea>
    </format>
    <format dxfId="641">
      <pivotArea dataOnly="0" labelOnly="1" grandCol="1" outline="0" fieldPosition="0"/>
    </format>
    <format dxfId="640">
      <pivotArea dataOnly="0" labelOnly="1" fieldPosition="0">
        <references count="1">
          <reference field="46" count="2">
            <x v="1"/>
            <x v="2"/>
          </reference>
        </references>
      </pivotArea>
    </format>
    <format dxfId="639">
      <pivotArea type="origin" dataOnly="0" labelOnly="1" outline="0" fieldPosition="0"/>
    </format>
    <format dxfId="638">
      <pivotArea field="46" type="button" dataOnly="0" labelOnly="1" outline="0" axis="axisCol" fieldPosition="0"/>
    </format>
    <format dxfId="637">
      <pivotArea type="topRight" dataOnly="0" labelOnly="1" outline="0" fieldPosition="0"/>
    </format>
    <format dxfId="636">
      <pivotArea dataOnly="0" labelOnly="1" fieldPosition="0">
        <references count="1">
          <reference field="46" count="1">
            <x v="3"/>
          </reference>
        </references>
      </pivotArea>
    </format>
    <format dxfId="635">
      <pivotArea dataOnly="0" labelOnly="1" fieldPosition="0">
        <references count="1">
          <reference field="46" count="1">
            <x v="3"/>
          </reference>
        </references>
      </pivotArea>
    </format>
    <format dxfId="634">
      <pivotArea grandCol="1" outline="0" collapsedLevelsAreSubtotals="1" fieldPosition="0"/>
    </format>
    <format dxfId="633">
      <pivotArea grandCol="1" outline="0" collapsedLevelsAreSubtotals="1" fieldPosition="0"/>
    </format>
    <format dxfId="632">
      <pivotArea dataOnly="0" labelOnly="1" fieldPosition="0">
        <references count="1">
          <reference field="46" count="1">
            <x v="4"/>
          </reference>
        </references>
      </pivotArea>
    </format>
    <format dxfId="631">
      <pivotArea dataOnly="0" labelOnly="1" fieldPosition="0">
        <references count="1">
          <reference field="46" count="1">
            <x v="4"/>
          </reference>
        </references>
      </pivotArea>
    </format>
    <format dxfId="630">
      <pivotArea dataOnly="0" labelOnly="1" fieldPosition="0">
        <references count="1">
          <reference field="46" count="4">
            <x v="1"/>
            <x v="2"/>
            <x v="3"/>
            <x v="4"/>
          </reference>
        </references>
      </pivotArea>
    </format>
    <format dxfId="629">
      <pivotArea grandRow="1" outline="0" collapsedLevelsAreSubtotals="1" fieldPosition="0"/>
    </format>
    <format dxfId="628">
      <pivotArea dataOnly="0" labelOnly="1" fieldPosition="0">
        <references count="1">
          <reference field="46" count="4">
            <x v="1"/>
            <x v="2"/>
            <x v="3"/>
            <x v="4"/>
          </reference>
        </references>
      </pivotArea>
    </format>
    <format dxfId="627">
      <pivotArea dataOnly="0" labelOnly="1" fieldPosition="0">
        <references count="1">
          <reference field="46" count="1">
            <x v="5"/>
          </reference>
        </references>
      </pivotArea>
    </format>
    <format dxfId="626">
      <pivotArea type="all" dataOnly="0" outline="0" fieldPosition="0"/>
    </format>
    <format dxfId="625">
      <pivotArea outline="0" collapsedLevelsAreSubtotals="1" fieldPosition="0"/>
    </format>
    <format dxfId="624">
      <pivotArea type="origin" dataOnly="0" labelOnly="1" outline="0" fieldPosition="0"/>
    </format>
    <format dxfId="623">
      <pivotArea field="46" type="button" dataOnly="0" labelOnly="1" outline="0" axis="axisCol" fieldPosition="0"/>
    </format>
    <format dxfId="622">
      <pivotArea type="topRight" dataOnly="0" labelOnly="1" outline="0" fieldPosition="0"/>
    </format>
    <format dxfId="621">
      <pivotArea field="9" type="button" dataOnly="0" labelOnly="1" outline="0" axis="axisRow" fieldPosition="0"/>
    </format>
    <format dxfId="620">
      <pivotArea dataOnly="0" labelOnly="1" grandRow="1" outline="0" fieldPosition="0"/>
    </format>
    <format dxfId="619">
      <pivotArea dataOnly="0" labelOnly="1" fieldPosition="0">
        <references count="1">
          <reference field="46" count="5">
            <x v="1"/>
            <x v="2"/>
            <x v="3"/>
            <x v="4"/>
            <x v="5"/>
          </reference>
        </references>
      </pivotArea>
    </format>
    <format dxfId="618">
      <pivotArea dataOnly="0" labelOnly="1" grandCol="1" outline="0" fieldPosition="0"/>
    </format>
    <format dxfId="617">
      <pivotArea dataOnly="0" labelOnly="1" fieldPosition="0">
        <references count="1">
          <reference field="46" count="1">
            <x v="5"/>
          </reference>
        </references>
      </pivotArea>
    </format>
    <format dxfId="616">
      <pivotArea type="all" dataOnly="0" outline="0" fieldPosition="0"/>
    </format>
    <format dxfId="615">
      <pivotArea outline="0" collapsedLevelsAreSubtotals="1" fieldPosition="0"/>
    </format>
    <format dxfId="614">
      <pivotArea type="origin" dataOnly="0" labelOnly="1" outline="0" fieldPosition="0"/>
    </format>
    <format dxfId="613">
      <pivotArea field="46" type="button" dataOnly="0" labelOnly="1" outline="0" axis="axisCol" fieldPosition="0"/>
    </format>
    <format dxfId="612">
      <pivotArea type="topRight" dataOnly="0" labelOnly="1" outline="0" fieldPosition="0"/>
    </format>
    <format dxfId="611">
      <pivotArea field="9" type="button" dataOnly="0" labelOnly="1" outline="0" axis="axisRow" fieldPosition="0"/>
    </format>
    <format dxfId="610">
      <pivotArea dataOnly="0" labelOnly="1" fieldPosition="0">
        <references count="1">
          <reference field="9" count="0"/>
        </references>
      </pivotArea>
    </format>
    <format dxfId="609">
      <pivotArea dataOnly="0" labelOnly="1" grandRow="1" outline="0" fieldPosition="0"/>
    </format>
    <format dxfId="608">
      <pivotArea dataOnly="0" labelOnly="1" fieldPosition="0">
        <references count="1">
          <reference field="46" count="3">
            <x v="1"/>
            <x v="2"/>
            <x v="3"/>
          </reference>
        </references>
      </pivotArea>
    </format>
    <format dxfId="607">
      <pivotArea dataOnly="0" labelOnly="1" grandCol="1" outline="0" fieldPosition="0"/>
    </format>
    <format dxfId="606">
      <pivotArea field="43" type="button" dataOnly="0" labelOnly="1" outline="0" axis="axisPage" fieldPosition="0"/>
    </format>
    <format dxfId="605">
      <pivotArea dataOnly="0" labelOnly="1" fieldPosition="0">
        <references count="1">
          <reference field="9" count="0"/>
        </references>
      </pivotArea>
    </format>
    <format dxfId="604">
      <pivotArea field="9" type="button" dataOnly="0" labelOnly="1" outline="0" axis="axisRow" fieldPosition="0"/>
    </format>
    <format dxfId="603">
      <pivotArea dataOnly="0" labelOnly="1" fieldPosition="0">
        <references count="1">
          <reference field="46" count="5">
            <x v="1"/>
            <x v="2"/>
            <x v="3"/>
            <x v="4"/>
            <x v="5"/>
          </reference>
        </references>
      </pivotArea>
    </format>
    <format dxfId="602">
      <pivotArea dataOnly="0" labelOnly="1" grandCol="1" outline="0" fieldPosition="0"/>
    </format>
    <format dxfId="601">
      <pivotArea grandRow="1" outline="0" collapsedLevelsAreSubtotals="1" fieldPosition="0"/>
    </format>
    <format dxfId="600">
      <pivotArea dataOnly="0" labelOnly="1" grandRow="1" outline="0" fieldPosition="0"/>
    </format>
    <format dxfId="599">
      <pivotArea outline="0" collapsedLevelsAreSubtotals="1" fieldPosition="0"/>
    </format>
    <format dxfId="598">
      <pivotArea dataOnly="0" labelOnly="1" fieldPosition="0">
        <references count="1">
          <reference field="46"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5000000}" name="TablaDinámica2" cacheId="22" applyNumberFormats="0" applyBorderFormats="0" applyFontFormats="0" applyPatternFormats="0" applyAlignmentFormats="0" applyWidthHeightFormats="1" dataCaption="Valores" updatedVersion="8" itemPrintTitles="1" createdVersion="8" indent="0" outline="1" outlineData="1" multipleFieldFilters="0" rowHeaderCaption="Nombre agente" colHeaderCaption="Semana">
  <location ref="M8:R29" firstHeaderRow="1" firstDataRow="2" firstDataCol="1" rowPageCount="2" colPageCount="1"/>
  <pivotFields count="48">
    <pivotField showAll="0"/>
    <pivotField showAll="0">
      <items count="50">
        <item h="1" x="48"/>
        <item x="0"/>
        <item x="1"/>
        <item x="2"/>
        <item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t="default"/>
      </items>
    </pivotField>
    <pivotField showAll="0"/>
    <pivotField showAll="0"/>
    <pivotField showAll="0"/>
    <pivotField showAll="0"/>
    <pivotField showAll="0"/>
    <pivotField showAll="0">
      <items count="66">
        <item m="1" x="62"/>
        <item m="1" x="63"/>
        <item m="1" x="61"/>
        <item m="1" x="60"/>
        <item m="1" x="64"/>
        <item x="17"/>
        <item m="1" x="39"/>
        <item m="1" x="43"/>
        <item m="1" x="40"/>
        <item m="1" x="41"/>
        <item m="1" x="42"/>
        <item m="1" x="44"/>
        <item m="1" x="45"/>
        <item m="1" x="46"/>
        <item m="1" x="47"/>
        <item m="1" x="48"/>
        <item m="1" x="49"/>
        <item m="1" x="50"/>
        <item m="1" x="51"/>
        <item m="1" x="52"/>
        <item m="1" x="53"/>
        <item m="1" x="54"/>
        <item m="1" x="55"/>
        <item m="1" x="56"/>
        <item m="1" x="57"/>
        <item m="1" x="58"/>
        <item m="1" x="59"/>
        <item m="1" x="18"/>
        <item m="1" x="19"/>
        <item m="1" x="20"/>
        <item m="1" x="21"/>
        <item m="1" x="22"/>
        <item m="1" x="23"/>
        <item m="1" x="24"/>
        <item m="1" x="25"/>
        <item m="1" x="26"/>
        <item m="1" x="27"/>
        <item m="1" x="28"/>
        <item m="1" x="29"/>
        <item m="1" x="30"/>
        <item m="1" x="31"/>
        <item m="1" x="32"/>
        <item m="1" x="33"/>
        <item m="1" x="34"/>
        <item m="1" x="35"/>
        <item m="1" x="36"/>
        <item m="1" x="37"/>
        <item m="1" x="38"/>
        <item x="0"/>
        <item x="1"/>
        <item x="2"/>
        <item x="3"/>
        <item x="4"/>
        <item x="5"/>
        <item x="6"/>
        <item x="7"/>
        <item x="8"/>
        <item x="9"/>
        <item x="10"/>
        <item x="11"/>
        <item x="12"/>
        <item x="13"/>
        <item x="14"/>
        <item x="15"/>
        <item x="16"/>
        <item t="default"/>
      </items>
    </pivotField>
    <pivotField showAll="0"/>
    <pivotField axis="axisRow" dataField="1" showAll="0" sortType="ascending">
      <items count="24">
        <item x="0"/>
        <item x="17"/>
        <item x="1"/>
        <item x="2"/>
        <item x="18"/>
        <item x="3"/>
        <item x="4"/>
        <item x="5"/>
        <item x="6"/>
        <item x="7"/>
        <item x="8"/>
        <item x="9"/>
        <item x="10"/>
        <item x="11"/>
        <item x="12"/>
        <item m="1" x="20"/>
        <item h="1" m="1" x="21"/>
        <item h="1" m="1" x="22"/>
        <item x="13"/>
        <item x="14"/>
        <item x="15"/>
        <item x="16"/>
        <item h="1" x="19"/>
        <item t="default"/>
      </items>
    </pivotField>
    <pivotField showAll="0"/>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numFmtId="9" multipleItemSelectionAllowed="1" showAll="0">
      <items count="7">
        <item x="2"/>
        <item m="1" x="3"/>
        <item x="1"/>
        <item m="1" x="5"/>
        <item x="0"/>
        <item m="1" x="4"/>
        <item t="default"/>
      </items>
    </pivotField>
    <pivotField showAll="0"/>
    <pivotField showAll="0"/>
    <pivotField showAll="0"/>
    <pivotField showAll="0"/>
    <pivotField showAll="0"/>
    <pivotField showAll="0"/>
    <pivotField showAll="0"/>
    <pivotField showAll="0"/>
    <pivotField showAll="0"/>
    <pivotField showAll="0"/>
    <pivotField axis="axisPage" multipleItemSelectionAllowed="1" showAll="0">
      <items count="4">
        <item x="0"/>
        <item m="1" x="2"/>
        <item x="1"/>
        <item t="default"/>
      </items>
    </pivotField>
    <pivotField showAll="0"/>
    <pivotField numFmtId="9" showAll="0"/>
    <pivotField axis="axisCol" numFmtId="4" multipleItemSelectionAllowed="1" showAll="0" sortType="ascending">
      <items count="7">
        <item h="1" x="4"/>
        <item m="1" x="5"/>
        <item x="0"/>
        <item x="1"/>
        <item x="2"/>
        <item x="3"/>
        <item t="default"/>
      </items>
    </pivotField>
    <pivotField showAll="0">
      <items count="15">
        <item x="0"/>
        <item x="1"/>
        <item x="2"/>
        <item x="3"/>
        <item x="4"/>
        <item x="5"/>
        <item x="6"/>
        <item x="7"/>
        <item x="8"/>
        <item x="9"/>
        <item x="10"/>
        <item x="11"/>
        <item x="12"/>
        <item x="13"/>
        <item t="default"/>
      </items>
    </pivotField>
  </pivotFields>
  <rowFields count="1">
    <field x="9"/>
  </rowFields>
  <rowItems count="20">
    <i>
      <x/>
    </i>
    <i>
      <x v="1"/>
    </i>
    <i>
      <x v="2"/>
    </i>
    <i>
      <x v="3"/>
    </i>
    <i>
      <x v="4"/>
    </i>
    <i>
      <x v="5"/>
    </i>
    <i>
      <x v="6"/>
    </i>
    <i>
      <x v="7"/>
    </i>
    <i>
      <x v="8"/>
    </i>
    <i>
      <x v="9"/>
    </i>
    <i>
      <x v="10"/>
    </i>
    <i>
      <x v="11"/>
    </i>
    <i>
      <x v="12"/>
    </i>
    <i>
      <x v="13"/>
    </i>
    <i>
      <x v="14"/>
    </i>
    <i>
      <x v="18"/>
    </i>
    <i>
      <x v="19"/>
    </i>
    <i>
      <x v="20"/>
    </i>
    <i>
      <x v="21"/>
    </i>
    <i t="grand">
      <x/>
    </i>
  </rowItems>
  <colFields count="1">
    <field x="46"/>
  </colFields>
  <colItems count="5">
    <i>
      <x v="2"/>
    </i>
    <i>
      <x v="3"/>
    </i>
    <i>
      <x v="4"/>
    </i>
    <i>
      <x v="5"/>
    </i>
    <i t="grand">
      <x/>
    </i>
  </colItems>
  <pageFields count="2">
    <pageField fld="43" hier="-1"/>
    <pageField fld="32" hier="-1"/>
  </pageFields>
  <dataFields count="1">
    <dataField name="Cantidad de Monitoreos" fld="9" subtotal="count" baseField="9" baseItem="0"/>
  </dataFields>
  <formats count="91">
    <format dxfId="764">
      <pivotArea outline="0" collapsedLevelsAreSubtotals="1" fieldPosition="0"/>
    </format>
    <format dxfId="763">
      <pivotArea outline="0" collapsedLevelsAreSubtotals="1" fieldPosition="0"/>
    </format>
    <format dxfId="762">
      <pivotArea field="9" type="button" dataOnly="0" labelOnly="1" outline="0" axis="axisRow" fieldPosition="0"/>
    </format>
    <format dxfId="761">
      <pivotArea dataOnly="0" labelOnly="1" grandRow="1" outline="0" fieldPosition="0"/>
    </format>
    <format dxfId="760">
      <pivotArea dataOnly="0" labelOnly="1" grandCol="1" outline="0" fieldPosition="0"/>
    </format>
    <format dxfId="759">
      <pivotArea type="all" dataOnly="0" outline="0" fieldPosition="0"/>
    </format>
    <format dxfId="758">
      <pivotArea outline="0" collapsedLevelsAreSubtotals="1" fieldPosition="0"/>
    </format>
    <format dxfId="757">
      <pivotArea type="origin" dataOnly="0" labelOnly="1" outline="0" fieldPosition="0"/>
    </format>
    <format dxfId="756">
      <pivotArea field="1" type="button" dataOnly="0" labelOnly="1" outline="0"/>
    </format>
    <format dxfId="755">
      <pivotArea type="topRight" dataOnly="0" labelOnly="1" outline="0" fieldPosition="0"/>
    </format>
    <format dxfId="754">
      <pivotArea field="9" type="button" dataOnly="0" labelOnly="1" outline="0" axis="axisRow" fieldPosition="0"/>
    </format>
    <format dxfId="753">
      <pivotArea dataOnly="0" labelOnly="1" grandRow="1" outline="0" fieldPosition="0"/>
    </format>
    <format dxfId="752">
      <pivotArea dataOnly="0" labelOnly="1" grandCol="1" outline="0" fieldPosition="0"/>
    </format>
    <format dxfId="751">
      <pivotArea type="all" dataOnly="0" outline="0" fieldPosition="0"/>
    </format>
    <format dxfId="750">
      <pivotArea outline="0" collapsedLevelsAreSubtotals="1" fieldPosition="0"/>
    </format>
    <format dxfId="749">
      <pivotArea type="origin" dataOnly="0" labelOnly="1" outline="0" fieldPosition="0"/>
    </format>
    <format dxfId="748">
      <pivotArea field="1" type="button" dataOnly="0" labelOnly="1" outline="0"/>
    </format>
    <format dxfId="747">
      <pivotArea type="topRight" dataOnly="0" labelOnly="1" outline="0" fieldPosition="0"/>
    </format>
    <format dxfId="746">
      <pivotArea field="9" type="button" dataOnly="0" labelOnly="1" outline="0" axis="axisRow" fieldPosition="0"/>
    </format>
    <format dxfId="745">
      <pivotArea dataOnly="0" labelOnly="1" grandRow="1" outline="0" fieldPosition="0"/>
    </format>
    <format dxfId="744">
      <pivotArea dataOnly="0" labelOnly="1" grandCol="1" outline="0" fieldPosition="0"/>
    </format>
    <format dxfId="743">
      <pivotArea outline="0" collapsedLevelsAreSubtotals="1" fieldPosition="0"/>
    </format>
    <format dxfId="742">
      <pivotArea grandRow="1" outline="0" collapsedLevelsAreSubtotals="1" fieldPosition="0"/>
    </format>
    <format dxfId="741">
      <pivotArea outline="0" collapsedLevelsAreSubtotals="1" fieldPosition="0"/>
    </format>
    <format dxfId="740">
      <pivotArea dataOnly="0" labelOnly="1" outline="0" fieldPosition="0">
        <references count="1">
          <reference field="46" count="0"/>
        </references>
      </pivotArea>
    </format>
    <format dxfId="739">
      <pivotArea dataOnly="0" labelOnly="1" outline="0" axis="axisValues" fieldPosition="0"/>
    </format>
    <format dxfId="738">
      <pivotArea type="all" dataOnly="0" outline="0" fieldPosition="0"/>
    </format>
    <format dxfId="737">
      <pivotArea dataOnly="0" labelOnly="1" fieldPosition="0">
        <references count="1">
          <reference field="46" count="2">
            <x v="1"/>
            <x v="2"/>
          </reference>
        </references>
      </pivotArea>
    </format>
    <format dxfId="736">
      <pivotArea dataOnly="0" labelOnly="1" grandCol="1" outline="0" fieldPosition="0"/>
    </format>
    <format dxfId="735">
      <pivotArea dataOnly="0" labelOnly="1" fieldPosition="0">
        <references count="1">
          <reference field="46" count="2">
            <x v="1"/>
            <x v="2"/>
          </reference>
        </references>
      </pivotArea>
    </format>
    <format dxfId="734">
      <pivotArea dataOnly="0" labelOnly="1" fieldPosition="0">
        <references count="1">
          <reference field="46" count="2">
            <x v="1"/>
            <x v="2"/>
          </reference>
        </references>
      </pivotArea>
    </format>
    <format dxfId="733">
      <pivotArea dataOnly="0" labelOnly="1" grandCol="1" outline="0" fieldPosition="0"/>
    </format>
    <format dxfId="732">
      <pivotArea type="all" dataOnly="0" outline="0" fieldPosition="0"/>
    </format>
    <format dxfId="731">
      <pivotArea type="origin" dataOnly="0" labelOnly="1" outline="0" fieldPosition="0"/>
    </format>
    <format dxfId="730">
      <pivotArea field="46" type="button" dataOnly="0" labelOnly="1" outline="0" axis="axisCol" fieldPosition="0"/>
    </format>
    <format dxfId="729">
      <pivotArea type="topRight" dataOnly="0" labelOnly="1" outline="0" fieldPosition="0"/>
    </format>
    <format dxfId="728">
      <pivotArea dataOnly="0" labelOnly="1" fieldPosition="0">
        <references count="1">
          <reference field="46" count="2">
            <x v="1"/>
            <x v="2"/>
          </reference>
        </references>
      </pivotArea>
    </format>
    <format dxfId="727">
      <pivotArea type="all" dataOnly="0" outline="0" fieldPosition="0"/>
    </format>
    <format dxfId="726">
      <pivotArea type="origin" dataOnly="0" labelOnly="1" outline="0" fieldPosition="0"/>
    </format>
    <format dxfId="725">
      <pivotArea field="46" type="button" dataOnly="0" labelOnly="1" outline="0" axis="axisCol" fieldPosition="0"/>
    </format>
    <format dxfId="724">
      <pivotArea type="topRight" dataOnly="0" labelOnly="1" outline="0" fieldPosition="0"/>
    </format>
    <format dxfId="723">
      <pivotArea dataOnly="0" labelOnly="1" fieldPosition="0">
        <references count="1">
          <reference field="46" count="2">
            <x v="1"/>
            <x v="2"/>
          </reference>
        </references>
      </pivotArea>
    </format>
    <format dxfId="722">
      <pivotArea grandRow="1" outline="0" collapsedLevelsAreSubtotals="1" fieldPosition="0"/>
    </format>
    <format dxfId="721">
      <pivotArea type="origin" dataOnly="0" labelOnly="1" outline="0" fieldPosition="0"/>
    </format>
    <format dxfId="720">
      <pivotArea field="46" type="button" dataOnly="0" labelOnly="1" outline="0" axis="axisCol" fieldPosition="0"/>
    </format>
    <format dxfId="719">
      <pivotArea type="topRight" dataOnly="0" labelOnly="1" outline="0" fieldPosition="0"/>
    </format>
    <format dxfId="718">
      <pivotArea dataOnly="0" labelOnly="1" fieldPosition="0">
        <references count="1">
          <reference field="46" count="1">
            <x v="3"/>
          </reference>
        </references>
      </pivotArea>
    </format>
    <format dxfId="717">
      <pivotArea dataOnly="0" labelOnly="1" fieldPosition="0">
        <references count="1">
          <reference field="46" count="1">
            <x v="3"/>
          </reference>
        </references>
      </pivotArea>
    </format>
    <format dxfId="716">
      <pivotArea dataOnly="0" labelOnly="1" fieldPosition="0">
        <references count="1">
          <reference field="46" count="1">
            <x v="3"/>
          </reference>
        </references>
      </pivotArea>
    </format>
    <format dxfId="715">
      <pivotArea dataOnly="0" labelOnly="1" fieldPosition="0">
        <references count="1">
          <reference field="46" count="1">
            <x v="2"/>
          </reference>
        </references>
      </pivotArea>
    </format>
    <format dxfId="714">
      <pivotArea dataOnly="0" labelOnly="1" fieldPosition="0">
        <references count="1">
          <reference field="46" count="1">
            <x v="4"/>
          </reference>
        </references>
      </pivotArea>
    </format>
    <format dxfId="713">
      <pivotArea dataOnly="0" labelOnly="1" fieldPosition="0">
        <references count="1">
          <reference field="46" count="4">
            <x v="1"/>
            <x v="2"/>
            <x v="3"/>
            <x v="4"/>
          </reference>
        </references>
      </pivotArea>
    </format>
    <format dxfId="712">
      <pivotArea dataOnly="0" labelOnly="1" fieldPosition="0">
        <references count="1">
          <reference field="46" count="4">
            <x v="1"/>
            <x v="2"/>
            <x v="3"/>
            <x v="4"/>
          </reference>
        </references>
      </pivotArea>
    </format>
    <format dxfId="711">
      <pivotArea collapsedLevelsAreSubtotals="1" fieldPosition="0">
        <references count="1">
          <reference field="9" count="18">
            <x v="0"/>
            <x v="2"/>
            <x v="3"/>
            <x v="4"/>
            <x v="5"/>
            <x v="6"/>
            <x v="7"/>
            <x v="8"/>
            <x v="9"/>
            <x v="10"/>
            <x v="11"/>
            <x v="13"/>
            <x v="14"/>
            <x v="15"/>
            <x v="18"/>
            <x v="19"/>
            <x v="20"/>
            <x v="21"/>
          </reference>
        </references>
      </pivotArea>
    </format>
    <format dxfId="710">
      <pivotArea dataOnly="0" labelOnly="1" fieldPosition="0">
        <references count="1">
          <reference field="46" count="1">
            <x v="4"/>
          </reference>
        </references>
      </pivotArea>
    </format>
    <format dxfId="709">
      <pivotArea dataOnly="0" labelOnly="1" fieldPosition="0">
        <references count="1">
          <reference field="9" count="0"/>
        </references>
      </pivotArea>
    </format>
    <format dxfId="708">
      <pivotArea dataOnly="0" labelOnly="1" fieldPosition="0">
        <references count="1">
          <reference field="9" count="0"/>
        </references>
      </pivotArea>
    </format>
    <format dxfId="707">
      <pivotArea collapsedLevelsAreSubtotals="1" fieldPosition="0">
        <references count="1">
          <reference field="9" count="0"/>
        </references>
      </pivotArea>
    </format>
    <format dxfId="706">
      <pivotArea dataOnly="0" labelOnly="1" fieldPosition="0">
        <references count="1">
          <reference field="46" count="1">
            <x v="5"/>
          </reference>
        </references>
      </pivotArea>
    </format>
    <format dxfId="705">
      <pivotArea type="all" dataOnly="0" outline="0" fieldPosition="0"/>
    </format>
    <format dxfId="704">
      <pivotArea outline="0" collapsedLevelsAreSubtotals="1" fieldPosition="0"/>
    </format>
    <format dxfId="703">
      <pivotArea type="origin" dataOnly="0" labelOnly="1" outline="0" fieldPosition="0"/>
    </format>
    <format dxfId="702">
      <pivotArea field="46" type="button" dataOnly="0" labelOnly="1" outline="0" axis="axisCol" fieldPosition="0"/>
    </format>
    <format dxfId="701">
      <pivotArea type="topRight" dataOnly="0" labelOnly="1" outline="0" fieldPosition="0"/>
    </format>
    <format dxfId="700">
      <pivotArea field="9" type="button" dataOnly="0" labelOnly="1" outline="0" axis="axisRow" fieldPosition="0"/>
    </format>
    <format dxfId="699">
      <pivotArea dataOnly="0" labelOnly="1" fieldPosition="0">
        <references count="1">
          <reference field="9" count="0"/>
        </references>
      </pivotArea>
    </format>
    <format dxfId="698">
      <pivotArea dataOnly="0" labelOnly="1" grandRow="1" outline="0" fieldPosition="0"/>
    </format>
    <format dxfId="697">
      <pivotArea dataOnly="0" labelOnly="1" fieldPosition="0">
        <references count="1">
          <reference field="46" count="5">
            <x v="1"/>
            <x v="2"/>
            <x v="3"/>
            <x v="4"/>
            <x v="5"/>
          </reference>
        </references>
      </pivotArea>
    </format>
    <format dxfId="696">
      <pivotArea dataOnly="0" labelOnly="1" grandCol="1" outline="0" fieldPosition="0"/>
    </format>
    <format dxfId="695">
      <pivotArea type="all" dataOnly="0" outline="0" fieldPosition="0"/>
    </format>
    <format dxfId="694">
      <pivotArea outline="0" collapsedLevelsAreSubtotals="1" fieldPosition="0"/>
    </format>
    <format dxfId="693">
      <pivotArea type="origin" dataOnly="0" labelOnly="1" outline="0" fieldPosition="0"/>
    </format>
    <format dxfId="692">
      <pivotArea field="46" type="button" dataOnly="0" labelOnly="1" outline="0" axis="axisCol" fieldPosition="0"/>
    </format>
    <format dxfId="691">
      <pivotArea type="topRight" dataOnly="0" labelOnly="1" outline="0" fieldPosition="0"/>
    </format>
    <format dxfId="690">
      <pivotArea field="9" type="button" dataOnly="0" labelOnly="1" outline="0" axis="axisRow" fieldPosition="0"/>
    </format>
    <format dxfId="689">
      <pivotArea dataOnly="0" labelOnly="1" fieldPosition="0">
        <references count="1">
          <reference field="9" count="0"/>
        </references>
      </pivotArea>
    </format>
    <format dxfId="688">
      <pivotArea dataOnly="0" labelOnly="1" grandRow="1" outline="0" fieldPosition="0"/>
    </format>
    <format dxfId="687">
      <pivotArea dataOnly="0" labelOnly="1" fieldPosition="0">
        <references count="1">
          <reference field="46" count="5">
            <x v="1"/>
            <x v="2"/>
            <x v="3"/>
            <x v="4"/>
            <x v="5"/>
          </reference>
        </references>
      </pivotArea>
    </format>
    <format dxfId="686">
      <pivotArea dataOnly="0" labelOnly="1" grandCol="1" outline="0" fieldPosition="0"/>
    </format>
    <format dxfId="685">
      <pivotArea type="all" dataOnly="0" outline="0" fieldPosition="0"/>
    </format>
    <format dxfId="684">
      <pivotArea outline="0" collapsedLevelsAreSubtotals="1" fieldPosition="0"/>
    </format>
    <format dxfId="683">
      <pivotArea type="origin" dataOnly="0" labelOnly="1" outline="0" fieldPosition="0"/>
    </format>
    <format dxfId="682">
      <pivotArea field="46" type="button" dataOnly="0" labelOnly="1" outline="0" axis="axisCol" fieldPosition="0"/>
    </format>
    <format dxfId="681">
      <pivotArea type="topRight" dataOnly="0" labelOnly="1" outline="0" fieldPosition="0"/>
    </format>
    <format dxfId="680">
      <pivotArea field="9" type="button" dataOnly="0" labelOnly="1" outline="0" axis="axisRow" fieldPosition="0"/>
    </format>
    <format dxfId="679">
      <pivotArea dataOnly="0" labelOnly="1" fieldPosition="0">
        <references count="1">
          <reference field="9" count="0"/>
        </references>
      </pivotArea>
    </format>
    <format dxfId="678">
      <pivotArea dataOnly="0" labelOnly="1" grandRow="1" outline="0" fieldPosition="0"/>
    </format>
    <format dxfId="677">
      <pivotArea dataOnly="0" labelOnly="1" fieldPosition="0">
        <references count="1">
          <reference field="46" count="3">
            <x v="1"/>
            <x v="2"/>
            <x v="3"/>
          </reference>
        </references>
      </pivotArea>
    </format>
    <format dxfId="676">
      <pivotArea dataOnly="0" labelOnly="1" grandCol="1" outline="0" fieldPosition="0"/>
    </format>
    <format dxfId="675">
      <pivotArea dataOnly="0" labelOnly="1" fieldPosition="0">
        <references count="1">
          <reference field="46" count="1">
            <x v="5"/>
          </reference>
        </references>
      </pivotArea>
    </format>
    <format dxfId="674">
      <pivotArea dataOnly="0" labelOnly="1" fieldPosition="0">
        <references count="1">
          <reference field="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AU553" totalsRowShown="0" headerRowDxfId="976" dataDxfId="974" headerRowBorderDxfId="975" tableBorderDxfId="973" totalsRowBorderDxfId="972">
  <autoFilter ref="A2:AU553" xr:uid="{00000000-000C-0000-FFFF-FFFF00000000}"/>
  <tableColumns count="47">
    <tableColumn id="1" xr3:uid="{00000000-0010-0000-0000-000001000000}" name="Campaña" dataDxfId="971" totalsRowDxfId="970">
      <calculatedColumnFormula>+IF(B3&gt;0,"Ministerio de Educación Nacional"," ")</calculatedColumnFormula>
    </tableColumn>
    <tableColumn id="2" xr3:uid="{00000000-0010-0000-0000-000002000000}" name="Número monitoreo" dataDxfId="969" totalsRowDxfId="968">
      <calculatedColumnFormula>+IFERROR(COUNTIF($J$3:J3,J3)," ")</calculatedColumnFormula>
    </tableColumn>
    <tableColumn id="3" xr3:uid="{00000000-0010-0000-0000-000003000000}" name="Llave" dataDxfId="967" totalsRowDxfId="966">
      <calculatedColumnFormula>+'Score BD'!$J3&amp;'Score BD'!$B3</calculatedColumnFormula>
    </tableColumn>
    <tableColumn id="12" xr3:uid="{00000000-0010-0000-0000-00000C000000}" name="Tipo de Monitoreo" dataDxfId="965" totalsRowDxfId="964"/>
    <tableColumn id="4" xr3:uid="{00000000-0010-0000-0000-000004000000}" name="Area" dataDxfId="963" totalsRowDxfId="962"/>
    <tableColumn id="32" xr3:uid="{00000000-0010-0000-0000-000020000000}" name="Tipo de comunicación" dataDxfId="961" totalsRowDxfId="960"/>
    <tableColumn id="5" xr3:uid="{00000000-0010-0000-0000-000005000000}" name="Mes" dataDxfId="959" totalsRowDxfId="958">
      <calculatedColumnFormula>+PROPER(TEXT(H3,"mmmm"))</calculatedColumnFormula>
    </tableColumn>
    <tableColumn id="6" xr3:uid="{00000000-0010-0000-0000-000006000000}" name="Fecha monitoreo" dataDxfId="957" totalsRowDxfId="956"/>
    <tableColumn id="7" xr3:uid="{00000000-0010-0000-0000-000007000000}" name="Fecha correo" dataDxfId="955"/>
    <tableColumn id="8" xr3:uid="{00000000-0010-0000-0000-000008000000}" name="Nombre y apellido agente" dataDxfId="954" totalsRowDxfId="953"/>
    <tableColumn id="9" xr3:uid="{00000000-0010-0000-0000-000009000000}" name="Cedula agente" dataDxfId="952">
      <calculatedColumnFormula>IFERROR(VLOOKUP('Score BD'!$J3,Lista!A:B,2,0)," ")</calculatedColumnFormula>
    </tableColumn>
    <tableColumn id="10" xr3:uid="{00000000-0010-0000-0000-00000A000000}" name="Numero de radicado" dataDxfId="951" totalsRowDxfId="950"/>
    <tableColumn id="13" xr3:uid="{00000000-0010-0000-0000-00000D000000}" name="Seguridad y redacción en la comunicación" dataDxfId="949" totalsRowDxfId="948"/>
    <tableColumn id="14" xr3:uid="{00000000-0010-0000-0000-00000E000000}" name="Estructura y presentación de la comunicación" dataDxfId="947" totalsRowDxfId="946"/>
    <tableColumn id="15" xr3:uid="{00000000-0010-0000-0000-00000F000000}" name="Lenguaje Claro y Positivo" dataDxfId="945" totalsRowDxfId="944"/>
    <tableColumn id="16" xr3:uid="{00000000-0010-0000-0000-000010000000}" name="Personalización" dataDxfId="943" totalsRowDxfId="942"/>
    <tableColumn id="21" xr3:uid="{00000000-0010-0000-0000-000015000000}" name="No critico" dataDxfId="941" dataCellStyle="Porcentaje">
      <calculatedColumnFormula>+IF(M3="NO",0,25%)+IF(N3="NO",0,25%)+IF(O3="NO",0,25%)+IF(P3="NO",0,25%)</calculatedColumnFormula>
    </tableColumn>
    <tableColumn id="22" xr3:uid="{00000000-0010-0000-0000-000016000000}" name="Identifica motivo y/o consulta del usuario" dataDxfId="940" totalsRowDxfId="939"/>
    <tableColumn id="23" xr3:uid="{00000000-0010-0000-0000-000017000000}" name="Brinda la información correcta y completa" dataDxfId="938" totalsRowDxfId="937"/>
    <tableColumn id="24" xr3:uid="{00000000-0010-0000-0000-000018000000}" name="Tiene buen trato y es amable" dataDxfId="936" totalsRowDxfId="935"/>
    <tableColumn id="30" xr3:uid="{00000000-0010-0000-0000-00001E000000}" name="Digitación, ortografía y redacción" dataDxfId="934" totalsRowDxfId="933"/>
    <tableColumn id="28" xr3:uid="{00000000-0010-0000-0000-00001C000000}" name="Error Crítico de Usuario Final" dataDxfId="932" dataCellStyle="Porcentaje">
      <calculatedColumnFormula>+IF(R3="NO",0,25%)+IF(S3="NO",0,25%)+IF(T3="NO",0,25%)+IF(U3="NO",0,25%)</calculatedColumnFormula>
    </tableColumn>
    <tableColumn id="25" xr3:uid="{00000000-0010-0000-0000-000019000000}" name="Gestión de la comunicación" dataDxfId="931" totalsRowDxfId="930"/>
    <tableColumn id="18" xr3:uid="{00000000-0010-0000-0000-000012000000}" name="Tipifica correctamente la gestión" dataDxfId="929" totalsRowDxfId="928"/>
    <tableColumn id="17" xr3:uid="{00000000-0010-0000-0000-000011000000}" name="Adjunta los documentos en los sistemas" dataDxfId="927" totalsRowDxfId="926"/>
    <tableColumn id="11" xr3:uid="{00000000-0010-0000-0000-00000B000000}" name="Direcciona adecuadamente al ciudadano, funcionario y/o entidad" dataDxfId="925" totalsRowDxfId="924"/>
    <tableColumn id="26" xr3:uid="{00000000-0010-0000-0000-00001A000000}" name="Escala correctamente la comunicación" dataDxfId="923" totalsRowDxfId="922"/>
    <tableColumn id="31" xr3:uid="{00000000-0010-0000-0000-00001F000000}" name="Realiza las correcciones solicitadas por el revisor" dataDxfId="921" totalsRowDxfId="920"/>
    <tableColumn id="27" xr3:uid="{00000000-0010-0000-0000-00001B000000}" name="Error critico de negocio" dataDxfId="919" dataCellStyle="Porcentaje">
      <calculatedColumnFormula>+IF(W3="NO",0%,16.6666666666667%)+IF(X3="NO",0%,16.6666666666667%)+IF(Y3="NO",0%,16.6666666666667%)+IF(Z3="NO",0%,16.6666666666667%)+IF(AA3="NO",0%,16.6666666666667%)+IF(AB3="NO",0%,16.6666666666667%)</calculatedColumnFormula>
    </tableColumn>
    <tableColumn id="36" xr3:uid="{00000000-0010-0000-0000-000024000000}" name="Brinda Información Confidencial " dataDxfId="918" totalsRowDxfId="917"/>
    <tableColumn id="37" xr3:uid="{00000000-0010-0000-0000-000025000000}" name="Uso adecuado de las herramientas de trabajo " dataDxfId="916" totalsRowDxfId="915"/>
    <tableColumn id="47" xr3:uid="{00000000-0010-0000-0000-00002F000000}" name="Error Crítico de cumplimiento" dataDxfId="914" totalsRowDxfId="913" dataCellStyle="Porcentaje">
      <calculatedColumnFormula>+IF(AD3="NO",0%,50%)+IF(AE3="NO",0%,50%)</calculatedColumnFormula>
    </tableColumn>
    <tableColumn id="48" xr3:uid="{00000000-0010-0000-0000-000030000000}" name="Calificación total" dataDxfId="912" dataCellStyle="Porcentaje">
      <calculatedColumnFormula>AVERAGE(AF3,AC3,V3,Q3)</calculatedColumnFormula>
    </tableColumn>
    <tableColumn id="49" xr3:uid="{00000000-0010-0000-0000-000031000000}" name="ERRORES CRITICOS" dataDxfId="911">
      <calculatedColumnFormula>+COUNTIF(W3:AB3,"no")+COUNTIF(R3:U3,"no")+COUNTIF(AD3:AE3,"no")</calculatedColumnFormula>
    </tableColumn>
    <tableColumn id="50" xr3:uid="{00000000-0010-0000-0000-000032000000}" name="ERRORES NO CRITICOS" dataDxfId="910" totalsRowDxfId="909">
      <calculatedColumnFormula>COUNTIF('Score BD'!$M3:$P3,"no")</calculatedColumnFormula>
    </tableColumn>
    <tableColumn id="59" xr3:uid="{00000000-0010-0000-0000-00003B000000}" name="Total Error Crítico de Usuario Final" dataDxfId="908" totalsRowDxfId="907">
      <calculatedColumnFormula>+IF(COUNTA(R3:U3)=0,"-",COUNTIF(R3:U3,"NO"))</calculatedColumnFormula>
    </tableColumn>
    <tableColumn id="60" xr3:uid="{00000000-0010-0000-0000-00003C000000}" name="Total Error Crítico de Negocio" dataDxfId="906" totalsRowDxfId="905">
      <calculatedColumnFormula>+IF(COUNTA(W3:AB3)=0,"-",COUNTIF(W3:AB3,"NO"))</calculatedColumnFormula>
    </tableColumn>
    <tableColumn id="29" xr3:uid="{00000000-0010-0000-0000-00001D000000}" name="Total Error Crítico de cumplimiento" dataDxfId="904" totalsRowDxfId="903">
      <calculatedColumnFormula>+IF(COUNTA(AD3:AE3)=0,"-",COUNTIF(AD3:AE3,"NO"))</calculatedColumnFormula>
    </tableColumn>
    <tableColumn id="51" xr3:uid="{00000000-0010-0000-0000-000033000000}" name="OBSERVACIÓN" dataDxfId="902" totalsRowDxfId="901"/>
    <tableColumn id="52" xr3:uid="{00000000-0010-0000-0000-000034000000}" name="Descripción hallazgo" dataDxfId="900" totalsRowDxfId="899"/>
    <tableColumn id="53" xr3:uid="{00000000-0010-0000-0000-000035000000}" name="Analisis de causas" dataDxfId="898" totalsRowDxfId="897"/>
    <tableColumn id="54" xr3:uid="{00000000-0010-0000-0000-000036000000}" name="Compromiso Agente" dataDxfId="896" totalsRowDxfId="895"/>
    <tableColumn id="55" xr3:uid="{00000000-0010-0000-0000-000037000000}" name="Coordinador" dataDxfId="894" totalsRowDxfId="893">
      <calculatedColumnFormula>IFERROR(_xlfn.XLOOKUP(Tabla1[[#This Row],[Cedula agente]],Lista!$B$2:$B$97,Lista!$G$2:$G$97)," ")</calculatedColumnFormula>
    </tableColumn>
    <tableColumn id="56" xr3:uid="{00000000-0010-0000-0000-000038000000}" name="Retroalimentación Preventiva" dataDxfId="892" totalsRowDxfId="891"/>
    <tableColumn id="57" xr3:uid="{00000000-0010-0000-0000-000039000000}" name="Calificador" dataDxfId="890">
      <calculatedColumnFormula>IFERROR(_xlfn.XLOOKUP(Tabla1[[#This Row],[Cedula agente]],Lista!$B$2:$B$97,Lista!$F$2:$F$97)," ")</calculatedColumnFormula>
    </tableColumn>
    <tableColumn id="65" xr3:uid="{00000000-0010-0000-0000-000041000000}" name="Meta" dataDxfId="889" totalsRowDxfId="888"/>
    <tableColumn id="58" xr3:uid="{00000000-0010-0000-0000-00003A000000}" name="Semana" dataDxfId="887" totalsRowDxfId="886">
      <calculatedColumnFormula>+WEEKNUM('Score BD'!$H3)-WEEKNUM(DATE(YEAR('Score BD'!$H3),MONTH('Score BD'!$H3),1))+1</calculatedColumnFormula>
    </tableColumn>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antoya@ext.mineducacion.gov.c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
  <sheetViews>
    <sheetView showGridLines="0" zoomScaleNormal="100" workbookViewId="0">
      <selection activeCell="A15" sqref="A15"/>
    </sheetView>
  </sheetViews>
  <sheetFormatPr baseColWidth="10" defaultColWidth="11.42578125" defaultRowHeight="16.5" x14ac:dyDescent="0.3"/>
  <cols>
    <col min="1" max="1" width="44.28515625" style="132" bestFit="1" customWidth="1"/>
    <col min="2" max="2" width="15.140625" style="129" customWidth="1"/>
    <col min="3" max="3" width="18.28515625" style="129" customWidth="1"/>
    <col min="4" max="4" width="14.140625" style="129" customWidth="1"/>
    <col min="5" max="5" width="34.28515625" style="129" customWidth="1"/>
    <col min="6" max="6" width="36.140625" style="129" bestFit="1" customWidth="1"/>
    <col min="7" max="7" width="37.85546875" style="129" customWidth="1"/>
    <col min="8" max="10" width="11.42578125" style="129"/>
    <col min="11" max="11" width="13.5703125" style="129" bestFit="1" customWidth="1"/>
    <col min="12" max="14" width="11.42578125" style="129"/>
    <col min="15" max="17" width="11.42578125" style="160"/>
    <col min="18" max="18" width="20.7109375" style="160" customWidth="1"/>
    <col min="19" max="20" width="11.42578125" style="160"/>
    <col min="21" max="16384" width="11.42578125" style="129"/>
  </cols>
  <sheetData>
    <row r="1" spans="1:20" s="149" customFormat="1" ht="39" customHeight="1" x14ac:dyDescent="0.3">
      <c r="A1" s="147" t="s">
        <v>146</v>
      </c>
      <c r="B1" s="147" t="s">
        <v>147</v>
      </c>
      <c r="C1" s="147" t="s">
        <v>70</v>
      </c>
      <c r="D1" s="147" t="s">
        <v>64</v>
      </c>
      <c r="E1" s="147" t="s">
        <v>207</v>
      </c>
      <c r="F1" s="147" t="s">
        <v>91</v>
      </c>
      <c r="G1" s="147" t="s">
        <v>62</v>
      </c>
      <c r="H1" s="148"/>
      <c r="O1" s="159"/>
      <c r="P1" s="159"/>
      <c r="Q1" s="159"/>
      <c r="R1" s="159"/>
      <c r="S1" s="159"/>
      <c r="T1" s="159"/>
    </row>
    <row r="2" spans="1:20" x14ac:dyDescent="0.3">
      <c r="A2" s="146" t="s">
        <v>171</v>
      </c>
      <c r="B2" s="130">
        <v>1026264261</v>
      </c>
      <c r="C2" s="131" t="s">
        <v>184</v>
      </c>
      <c r="D2" s="138">
        <v>0.99728260869565233</v>
      </c>
      <c r="E2" s="152" t="s">
        <v>209</v>
      </c>
      <c r="F2" s="139" t="s">
        <v>140</v>
      </c>
      <c r="G2" s="139" t="s">
        <v>151</v>
      </c>
      <c r="P2" s="160" t="s">
        <v>148</v>
      </c>
      <c r="Q2" s="160" t="s">
        <v>105</v>
      </c>
      <c r="R2" s="160" t="s">
        <v>106</v>
      </c>
      <c r="S2" s="160" t="s">
        <v>65</v>
      </c>
      <c r="T2" s="160" t="s">
        <v>164</v>
      </c>
    </row>
    <row r="3" spans="1:20" x14ac:dyDescent="0.3">
      <c r="A3" s="228" t="s">
        <v>228</v>
      </c>
      <c r="B3" s="130">
        <v>1120362660</v>
      </c>
      <c r="C3" s="171" t="s">
        <v>233</v>
      </c>
      <c r="D3" s="138">
        <v>1.0000000000000004</v>
      </c>
      <c r="E3" s="152" t="s">
        <v>208</v>
      </c>
      <c r="F3" s="139" t="s">
        <v>140</v>
      </c>
      <c r="G3" s="139" t="s">
        <v>151</v>
      </c>
      <c r="P3" s="160" t="s">
        <v>149</v>
      </c>
      <c r="Q3" s="160" t="s">
        <v>212</v>
      </c>
      <c r="R3" s="160" t="s">
        <v>109</v>
      </c>
      <c r="S3" s="160" t="s">
        <v>162</v>
      </c>
      <c r="T3" s="160" t="s">
        <v>208</v>
      </c>
    </row>
    <row r="4" spans="1:20" x14ac:dyDescent="0.3">
      <c r="A4" s="225" t="s">
        <v>172</v>
      </c>
      <c r="B4" s="130">
        <v>1069257937</v>
      </c>
      <c r="C4" s="131" t="s">
        <v>185</v>
      </c>
      <c r="D4" s="138">
        <v>1.0000000000000002</v>
      </c>
      <c r="E4" s="152" t="s">
        <v>165</v>
      </c>
      <c r="F4" s="139" t="s">
        <v>140</v>
      </c>
      <c r="G4" s="139" t="s">
        <v>151</v>
      </c>
      <c r="R4" s="160" t="s">
        <v>107</v>
      </c>
      <c r="T4" s="160" t="s">
        <v>165</v>
      </c>
    </row>
    <row r="5" spans="1:20" x14ac:dyDescent="0.3">
      <c r="A5" s="146" t="s">
        <v>173</v>
      </c>
      <c r="B5" s="130">
        <v>1026574814</v>
      </c>
      <c r="C5" s="131" t="s">
        <v>186</v>
      </c>
      <c r="D5" s="138">
        <v>0.99255952380952384</v>
      </c>
      <c r="E5" s="152" t="s">
        <v>165</v>
      </c>
      <c r="F5" s="139" t="s">
        <v>140</v>
      </c>
      <c r="G5" s="139" t="s">
        <v>151</v>
      </c>
      <c r="R5" s="160" t="s">
        <v>108</v>
      </c>
      <c r="T5" s="160" t="s">
        <v>211</v>
      </c>
    </row>
    <row r="6" spans="1:20" x14ac:dyDescent="0.3">
      <c r="A6" s="228" t="s">
        <v>203</v>
      </c>
      <c r="B6" s="130">
        <v>1234194276</v>
      </c>
      <c r="C6" s="131" t="s">
        <v>187</v>
      </c>
      <c r="D6" s="138">
        <v>0.99583333333333346</v>
      </c>
      <c r="E6" s="170" t="s">
        <v>211</v>
      </c>
      <c r="F6" s="139" t="s">
        <v>140</v>
      </c>
      <c r="G6" s="139" t="s">
        <v>151</v>
      </c>
      <c r="H6" s="132"/>
      <c r="R6" s="160" t="s">
        <v>110</v>
      </c>
      <c r="T6" s="160" t="s">
        <v>210</v>
      </c>
    </row>
    <row r="7" spans="1:20" x14ac:dyDescent="0.3">
      <c r="A7" s="146" t="s">
        <v>174</v>
      </c>
      <c r="B7" s="140">
        <v>1032367072</v>
      </c>
      <c r="C7" s="131" t="s">
        <v>188</v>
      </c>
      <c r="D7" s="138">
        <v>0.99831081081081097</v>
      </c>
      <c r="E7" s="152" t="s">
        <v>164</v>
      </c>
      <c r="F7" s="139" t="s">
        <v>140</v>
      </c>
      <c r="G7" s="139" t="s">
        <v>151</v>
      </c>
      <c r="H7" s="132"/>
    </row>
    <row r="8" spans="1:20" x14ac:dyDescent="0.3">
      <c r="A8" s="146" t="s">
        <v>175</v>
      </c>
      <c r="B8" s="140">
        <v>1063968280</v>
      </c>
      <c r="C8" s="171" t="s">
        <v>214</v>
      </c>
      <c r="D8" s="138">
        <v>1.0000000000000002</v>
      </c>
      <c r="E8" s="152" t="s">
        <v>165</v>
      </c>
      <c r="F8" s="139" t="s">
        <v>140</v>
      </c>
      <c r="G8" s="139" t="s">
        <v>151</v>
      </c>
      <c r="H8" s="132"/>
    </row>
    <row r="9" spans="1:20" x14ac:dyDescent="0.3">
      <c r="A9" s="225" t="s">
        <v>176</v>
      </c>
      <c r="B9" s="140">
        <v>52805909</v>
      </c>
      <c r="C9" s="131" t="s">
        <v>189</v>
      </c>
      <c r="D9" s="138">
        <v>0.999</v>
      </c>
      <c r="E9" s="152" t="s">
        <v>164</v>
      </c>
      <c r="F9" s="139" t="s">
        <v>140</v>
      </c>
      <c r="G9" s="139" t="s">
        <v>151</v>
      </c>
      <c r="H9" s="132"/>
    </row>
    <row r="10" spans="1:20" x14ac:dyDescent="0.3">
      <c r="A10" s="146" t="s">
        <v>177</v>
      </c>
      <c r="B10" s="141">
        <v>1083038013</v>
      </c>
      <c r="C10" s="131" t="s">
        <v>191</v>
      </c>
      <c r="D10" s="138">
        <v>1.0000000000000002</v>
      </c>
      <c r="E10" s="152" t="s">
        <v>208</v>
      </c>
      <c r="F10" s="139" t="s">
        <v>140</v>
      </c>
      <c r="G10" s="139" t="s">
        <v>151</v>
      </c>
      <c r="H10" s="132"/>
    </row>
    <row r="11" spans="1:20" x14ac:dyDescent="0.3">
      <c r="A11" s="146" t="s">
        <v>178</v>
      </c>
      <c r="B11" s="141">
        <v>1053345183</v>
      </c>
      <c r="C11" s="131" t="s">
        <v>190</v>
      </c>
      <c r="D11" s="138">
        <v>1.0000000000000002</v>
      </c>
      <c r="E11" s="152" t="s">
        <v>165</v>
      </c>
      <c r="F11" s="139" t="s">
        <v>140</v>
      </c>
      <c r="G11" s="139" t="s">
        <v>151</v>
      </c>
      <c r="H11" s="132"/>
    </row>
    <row r="12" spans="1:20" x14ac:dyDescent="0.3">
      <c r="A12" s="146" t="s">
        <v>179</v>
      </c>
      <c r="B12" s="141">
        <v>1030541070</v>
      </c>
      <c r="C12" s="131" t="s">
        <v>192</v>
      </c>
      <c r="D12" s="138">
        <v>0.99719999999999998</v>
      </c>
      <c r="E12" s="152" t="s">
        <v>165</v>
      </c>
      <c r="F12" s="139" t="s">
        <v>140</v>
      </c>
      <c r="G12" s="139" t="s">
        <v>151</v>
      </c>
      <c r="H12" s="132"/>
    </row>
    <row r="13" spans="1:20" x14ac:dyDescent="0.3">
      <c r="A13" s="146" t="s">
        <v>180</v>
      </c>
      <c r="B13" s="141">
        <v>1026291591</v>
      </c>
      <c r="C13" s="131" t="s">
        <v>193</v>
      </c>
      <c r="D13" s="138">
        <v>0.99819999999999998</v>
      </c>
      <c r="E13" s="152" t="s">
        <v>165</v>
      </c>
      <c r="F13" s="139" t="s">
        <v>140</v>
      </c>
      <c r="G13" s="139" t="s">
        <v>151</v>
      </c>
      <c r="H13" s="132"/>
    </row>
    <row r="14" spans="1:20" x14ac:dyDescent="0.3">
      <c r="A14" s="146" t="s">
        <v>201</v>
      </c>
      <c r="B14" s="141">
        <v>1030678660</v>
      </c>
      <c r="C14" s="131" t="s">
        <v>202</v>
      </c>
      <c r="D14" s="138">
        <v>1</v>
      </c>
      <c r="E14" s="152" t="s">
        <v>208</v>
      </c>
      <c r="F14" s="139" t="s">
        <v>140</v>
      </c>
      <c r="G14" s="139" t="s">
        <v>151</v>
      </c>
      <c r="H14" s="132"/>
    </row>
    <row r="15" spans="1:20" x14ac:dyDescent="0.3">
      <c r="A15" s="225" t="s">
        <v>204</v>
      </c>
      <c r="B15" s="141">
        <v>1075224344</v>
      </c>
      <c r="C15" s="131" t="s">
        <v>194</v>
      </c>
      <c r="D15" s="138">
        <v>1.0000000000000002</v>
      </c>
      <c r="E15" s="152" t="s">
        <v>164</v>
      </c>
      <c r="F15" s="139" t="s">
        <v>140</v>
      </c>
      <c r="G15" s="139" t="s">
        <v>151</v>
      </c>
      <c r="H15" s="132"/>
    </row>
    <row r="16" spans="1:20" x14ac:dyDescent="0.3">
      <c r="A16" s="146" t="s">
        <v>205</v>
      </c>
      <c r="B16" s="141">
        <v>1121919150</v>
      </c>
      <c r="C16" s="131" t="s">
        <v>195</v>
      </c>
      <c r="D16" s="138">
        <v>0.99218750000000011</v>
      </c>
      <c r="E16" s="152" t="s">
        <v>164</v>
      </c>
      <c r="F16" s="139" t="s">
        <v>140</v>
      </c>
      <c r="G16" s="139" t="s">
        <v>151</v>
      </c>
      <c r="H16" s="132"/>
    </row>
    <row r="17" spans="1:11" x14ac:dyDescent="0.3">
      <c r="A17" s="146" t="s">
        <v>181</v>
      </c>
      <c r="B17" s="141">
        <v>1000383417</v>
      </c>
      <c r="C17" s="131" t="s">
        <v>196</v>
      </c>
      <c r="D17" s="138">
        <v>1</v>
      </c>
      <c r="E17" s="152" t="s">
        <v>164</v>
      </c>
      <c r="F17" s="139" t="s">
        <v>140</v>
      </c>
      <c r="G17" s="139" t="s">
        <v>151</v>
      </c>
      <c r="H17" s="132"/>
    </row>
    <row r="18" spans="1:11" x14ac:dyDescent="0.3">
      <c r="A18" s="146" t="s">
        <v>182</v>
      </c>
      <c r="B18" s="141">
        <v>1010214168</v>
      </c>
      <c r="C18" s="131" t="s">
        <v>197</v>
      </c>
      <c r="D18" s="138">
        <v>1</v>
      </c>
      <c r="E18" s="152" t="s">
        <v>208</v>
      </c>
      <c r="F18" s="139" t="s">
        <v>140</v>
      </c>
      <c r="G18" s="139" t="s">
        <v>151</v>
      </c>
      <c r="H18" s="132"/>
    </row>
    <row r="19" spans="1:11" x14ac:dyDescent="0.3">
      <c r="A19" s="146" t="s">
        <v>183</v>
      </c>
      <c r="B19" s="141">
        <v>1121950095</v>
      </c>
      <c r="C19" s="131" t="s">
        <v>198</v>
      </c>
      <c r="D19" s="138">
        <v>1.0000000000000002</v>
      </c>
      <c r="E19" s="152" t="s">
        <v>165</v>
      </c>
      <c r="F19" s="139" t="s">
        <v>140</v>
      </c>
      <c r="G19" s="139" t="s">
        <v>151</v>
      </c>
      <c r="H19" s="132"/>
    </row>
    <row r="20" spans="1:11" x14ac:dyDescent="0.3">
      <c r="A20" s="146" t="s">
        <v>206</v>
      </c>
      <c r="B20" s="141">
        <v>52962387</v>
      </c>
      <c r="C20" s="131" t="s">
        <v>199</v>
      </c>
      <c r="D20" s="138">
        <v>1</v>
      </c>
      <c r="E20" s="152" t="s">
        <v>165</v>
      </c>
      <c r="F20" s="139" t="s">
        <v>140</v>
      </c>
      <c r="G20" s="139" t="s">
        <v>151</v>
      </c>
      <c r="H20" s="132"/>
      <c r="K20" s="133"/>
    </row>
    <row r="21" spans="1:11" x14ac:dyDescent="0.3">
      <c r="A21" s="146"/>
      <c r="B21" s="141"/>
      <c r="C21" s="131"/>
      <c r="D21" s="138"/>
      <c r="E21" s="138"/>
      <c r="F21" s="139"/>
      <c r="G21" s="139"/>
      <c r="H21" s="132"/>
      <c r="K21" s="134"/>
    </row>
    <row r="22" spans="1:11" x14ac:dyDescent="0.3">
      <c r="A22" s="146"/>
      <c r="B22" s="141"/>
      <c r="C22" s="131"/>
      <c r="D22" s="138"/>
      <c r="E22" s="138"/>
      <c r="F22" s="139"/>
      <c r="G22" s="139"/>
      <c r="H22" s="132"/>
      <c r="K22" s="134"/>
    </row>
    <row r="23" spans="1:11" x14ac:dyDescent="0.3">
      <c r="A23" s="146"/>
      <c r="B23" s="141"/>
      <c r="C23" s="131"/>
      <c r="D23" s="138"/>
      <c r="E23" s="138"/>
      <c r="F23" s="139"/>
      <c r="G23" s="139"/>
      <c r="H23" s="132"/>
      <c r="K23" s="134"/>
    </row>
    <row r="24" spans="1:11" x14ac:dyDescent="0.3">
      <c r="A24" s="146"/>
      <c r="B24" s="141"/>
      <c r="C24" s="131"/>
      <c r="D24" s="138"/>
      <c r="E24" s="138"/>
      <c r="F24" s="139"/>
      <c r="G24" s="139"/>
      <c r="H24" s="132"/>
      <c r="K24" s="134"/>
    </row>
    <row r="25" spans="1:11" x14ac:dyDescent="0.3">
      <c r="A25" s="146"/>
      <c r="B25" s="135"/>
      <c r="C25" s="131"/>
      <c r="D25" s="138"/>
      <c r="E25" s="138"/>
      <c r="F25" s="139"/>
      <c r="G25" s="139"/>
      <c r="K25" s="134"/>
    </row>
    <row r="26" spans="1:11" x14ac:dyDescent="0.3">
      <c r="A26" s="146"/>
      <c r="B26" s="135"/>
      <c r="C26" s="131"/>
      <c r="D26" s="138"/>
      <c r="E26" s="138"/>
      <c r="F26" s="139"/>
      <c r="G26" s="139"/>
      <c r="K26" s="134"/>
    </row>
    <row r="27" spans="1:11" x14ac:dyDescent="0.3">
      <c r="A27" s="146"/>
      <c r="B27" s="135"/>
      <c r="C27" s="131"/>
      <c r="D27" s="138"/>
      <c r="E27" s="138"/>
      <c r="F27" s="139"/>
      <c r="G27" s="139"/>
      <c r="K27" s="134"/>
    </row>
    <row r="28" spans="1:11" x14ac:dyDescent="0.3">
      <c r="A28" s="146"/>
      <c r="B28" s="135"/>
      <c r="C28" s="131"/>
      <c r="D28" s="138"/>
      <c r="E28" s="138"/>
      <c r="F28" s="139"/>
      <c r="G28" s="139"/>
      <c r="K28" s="134"/>
    </row>
    <row r="29" spans="1:11" x14ac:dyDescent="0.3">
      <c r="A29" s="146"/>
      <c r="B29" s="135"/>
      <c r="C29" s="131"/>
      <c r="D29" s="138"/>
      <c r="E29" s="138"/>
      <c r="F29" s="139"/>
      <c r="G29" s="139"/>
      <c r="K29" s="134"/>
    </row>
    <row r="30" spans="1:11" x14ac:dyDescent="0.3">
      <c r="A30" s="146"/>
      <c r="B30" s="135"/>
      <c r="C30" s="131"/>
      <c r="D30" s="138"/>
      <c r="E30" s="138"/>
      <c r="F30" s="139"/>
      <c r="G30" s="139"/>
      <c r="K30" s="134"/>
    </row>
    <row r="31" spans="1:11" x14ac:dyDescent="0.3">
      <c r="A31" s="146"/>
      <c r="B31" s="141"/>
      <c r="C31" s="131"/>
      <c r="D31" s="138"/>
      <c r="E31" s="138"/>
      <c r="F31" s="139"/>
      <c r="G31" s="139"/>
      <c r="K31" s="134"/>
    </row>
    <row r="32" spans="1:11" x14ac:dyDescent="0.3">
      <c r="A32" s="146"/>
      <c r="B32" s="135"/>
      <c r="C32" s="131"/>
      <c r="D32" s="138"/>
      <c r="E32" s="138"/>
      <c r="F32" s="139"/>
      <c r="G32" s="139"/>
      <c r="K32" s="134"/>
    </row>
    <row r="33" spans="1:11" x14ac:dyDescent="0.3">
      <c r="A33" s="146"/>
      <c r="B33" s="135"/>
      <c r="C33" s="131"/>
      <c r="D33" s="138"/>
      <c r="E33" s="138"/>
      <c r="F33" s="139"/>
      <c r="G33" s="139"/>
      <c r="K33" s="134"/>
    </row>
    <row r="34" spans="1:11" x14ac:dyDescent="0.3">
      <c r="A34" s="146"/>
      <c r="B34" s="136"/>
      <c r="C34" s="131"/>
      <c r="D34" s="138"/>
      <c r="E34" s="138"/>
      <c r="F34" s="139"/>
      <c r="G34" s="142"/>
      <c r="K34" s="134"/>
    </row>
    <row r="35" spans="1:11" x14ac:dyDescent="0.3">
      <c r="A35" s="146"/>
      <c r="B35" s="135"/>
      <c r="C35" s="131"/>
      <c r="D35" s="138"/>
      <c r="E35" s="138"/>
      <c r="F35" s="139"/>
      <c r="G35" s="139"/>
      <c r="K35" s="134"/>
    </row>
    <row r="36" spans="1:11" x14ac:dyDescent="0.3">
      <c r="A36" s="146"/>
      <c r="B36" s="135"/>
      <c r="C36" s="131"/>
      <c r="D36" s="138"/>
      <c r="E36" s="138"/>
      <c r="F36" s="139"/>
      <c r="G36" s="139"/>
      <c r="K36" s="134"/>
    </row>
    <row r="37" spans="1:11" x14ac:dyDescent="0.3">
      <c r="A37" s="146"/>
      <c r="B37" s="135"/>
      <c r="C37" s="131"/>
      <c r="D37" s="138"/>
      <c r="E37" s="138"/>
      <c r="F37" s="139"/>
      <c r="G37" s="139"/>
      <c r="K37" s="134"/>
    </row>
    <row r="38" spans="1:11" x14ac:dyDescent="0.3">
      <c r="A38" s="146"/>
      <c r="B38" s="135"/>
      <c r="C38" s="131"/>
      <c r="D38" s="138"/>
      <c r="E38" s="138"/>
      <c r="F38" s="139"/>
      <c r="G38" s="139"/>
      <c r="K38" s="134"/>
    </row>
    <row r="39" spans="1:11" x14ac:dyDescent="0.3">
      <c r="A39" s="146"/>
      <c r="B39" s="135"/>
      <c r="C39" s="131"/>
      <c r="D39" s="138"/>
      <c r="E39" s="138"/>
      <c r="F39" s="139"/>
      <c r="G39" s="139"/>
      <c r="K39" s="134"/>
    </row>
    <row r="40" spans="1:11" x14ac:dyDescent="0.3">
      <c r="A40" s="146"/>
      <c r="B40" s="135"/>
      <c r="C40" s="131"/>
      <c r="D40" s="138"/>
      <c r="E40" s="138"/>
      <c r="F40" s="139"/>
      <c r="G40" s="139"/>
      <c r="K40" s="134"/>
    </row>
    <row r="41" spans="1:11" x14ac:dyDescent="0.3">
      <c r="A41" s="146"/>
      <c r="B41" s="135"/>
      <c r="C41" s="131"/>
      <c r="D41" s="138"/>
      <c r="E41" s="138"/>
      <c r="F41" s="139"/>
      <c r="G41" s="139"/>
      <c r="K41" s="134"/>
    </row>
    <row r="42" spans="1:11" x14ac:dyDescent="0.3">
      <c r="A42" s="146"/>
      <c r="B42" s="135"/>
      <c r="C42" s="131"/>
      <c r="D42" s="138"/>
      <c r="E42" s="138"/>
      <c r="F42" s="139"/>
      <c r="G42" s="139"/>
      <c r="K42" s="134"/>
    </row>
    <row r="43" spans="1:11" x14ac:dyDescent="0.3">
      <c r="A43" s="146"/>
      <c r="B43" s="135"/>
      <c r="C43" s="131"/>
      <c r="D43" s="138"/>
      <c r="E43" s="138"/>
      <c r="F43" s="139"/>
      <c r="G43" s="139"/>
      <c r="K43" s="134"/>
    </row>
    <row r="44" spans="1:11" x14ac:dyDescent="0.3">
      <c r="A44" s="146"/>
      <c r="B44" s="141"/>
      <c r="C44" s="131"/>
      <c r="D44" s="138"/>
      <c r="E44" s="138"/>
      <c r="F44" s="139"/>
      <c r="G44" s="139"/>
      <c r="K44" s="134"/>
    </row>
    <row r="45" spans="1:11" x14ac:dyDescent="0.3">
      <c r="A45" s="146"/>
      <c r="B45" s="141"/>
      <c r="C45" s="131"/>
      <c r="D45" s="138"/>
      <c r="E45" s="138"/>
      <c r="F45" s="139"/>
      <c r="G45" s="139"/>
      <c r="K45" s="134"/>
    </row>
    <row r="46" spans="1:11" x14ac:dyDescent="0.3">
      <c r="A46" s="146"/>
      <c r="B46" s="135"/>
      <c r="C46" s="131"/>
      <c r="D46" s="138"/>
      <c r="E46" s="138"/>
      <c r="F46" s="139"/>
      <c r="G46" s="139"/>
      <c r="K46" s="134"/>
    </row>
    <row r="47" spans="1:11" x14ac:dyDescent="0.3">
      <c r="A47" s="146"/>
      <c r="B47" s="135"/>
      <c r="C47" s="131"/>
      <c r="D47" s="138"/>
      <c r="E47" s="138"/>
      <c r="F47" s="139"/>
      <c r="G47" s="139"/>
      <c r="K47" s="134"/>
    </row>
    <row r="48" spans="1:11" x14ac:dyDescent="0.3">
      <c r="A48" s="146"/>
      <c r="B48" s="135"/>
      <c r="C48" s="131"/>
      <c r="D48" s="138"/>
      <c r="E48" s="138"/>
      <c r="F48" s="139"/>
      <c r="G48" s="139"/>
      <c r="K48" s="134"/>
    </row>
    <row r="49" spans="1:11" x14ac:dyDescent="0.3">
      <c r="A49" s="146"/>
      <c r="B49" s="135"/>
      <c r="C49" s="131"/>
      <c r="D49" s="138"/>
      <c r="E49" s="138"/>
      <c r="F49" s="139"/>
      <c r="G49" s="139"/>
      <c r="K49" s="134"/>
    </row>
    <row r="50" spans="1:11" x14ac:dyDescent="0.3">
      <c r="A50" s="146"/>
      <c r="B50" s="135"/>
      <c r="C50" s="131"/>
      <c r="D50" s="138"/>
      <c r="E50" s="138"/>
      <c r="F50" s="139"/>
      <c r="G50" s="139"/>
      <c r="K50" s="134"/>
    </row>
    <row r="51" spans="1:11" x14ac:dyDescent="0.3">
      <c r="A51" s="146"/>
      <c r="B51" s="135"/>
      <c r="C51" s="131"/>
      <c r="D51" s="138"/>
      <c r="E51" s="138"/>
      <c r="F51" s="139"/>
      <c r="G51" s="139"/>
      <c r="K51" s="134"/>
    </row>
    <row r="52" spans="1:11" x14ac:dyDescent="0.3">
      <c r="A52" s="146"/>
      <c r="B52" s="135"/>
      <c r="C52" s="131"/>
      <c r="D52" s="138"/>
      <c r="E52" s="138"/>
      <c r="F52" s="139"/>
      <c r="G52" s="139"/>
    </row>
    <row r="53" spans="1:11" x14ac:dyDescent="0.3">
      <c r="A53" s="146"/>
      <c r="B53" s="135"/>
      <c r="C53" s="131"/>
      <c r="D53" s="138"/>
      <c r="E53" s="138"/>
      <c r="F53" s="139"/>
      <c r="G53" s="139"/>
    </row>
    <row r="54" spans="1:11" x14ac:dyDescent="0.3">
      <c r="A54" s="146"/>
      <c r="B54" s="135"/>
      <c r="C54" s="131"/>
      <c r="D54" s="138"/>
      <c r="E54" s="138"/>
      <c r="F54" s="139"/>
      <c r="G54" s="139"/>
    </row>
    <row r="55" spans="1:11" x14ac:dyDescent="0.3">
      <c r="A55" s="146"/>
      <c r="B55" s="135"/>
      <c r="C55" s="131"/>
      <c r="D55" s="138"/>
      <c r="E55" s="138"/>
      <c r="F55" s="139"/>
      <c r="G55" s="139"/>
    </row>
    <row r="56" spans="1:11" x14ac:dyDescent="0.3">
      <c r="A56" s="146"/>
      <c r="B56" s="135"/>
      <c r="C56" s="131"/>
      <c r="D56" s="138"/>
      <c r="E56" s="138"/>
      <c r="F56" s="139"/>
      <c r="G56" s="139"/>
    </row>
    <row r="57" spans="1:11" x14ac:dyDescent="0.3">
      <c r="A57" s="146"/>
      <c r="B57" s="135"/>
      <c r="C57" s="131"/>
      <c r="D57" s="138"/>
      <c r="E57" s="138"/>
      <c r="F57" s="139"/>
      <c r="G57" s="139"/>
    </row>
    <row r="58" spans="1:11" x14ac:dyDescent="0.3">
      <c r="A58" s="146"/>
      <c r="B58" s="135"/>
      <c r="C58" s="131"/>
      <c r="D58" s="138"/>
      <c r="E58" s="138"/>
      <c r="F58" s="139"/>
      <c r="G58" s="139"/>
    </row>
    <row r="59" spans="1:11" x14ac:dyDescent="0.3">
      <c r="A59" s="146"/>
      <c r="B59" s="135"/>
      <c r="C59" s="131"/>
      <c r="D59" s="138"/>
      <c r="E59" s="138"/>
      <c r="F59" s="139"/>
      <c r="G59" s="139"/>
    </row>
    <row r="60" spans="1:11" x14ac:dyDescent="0.3">
      <c r="A60" s="146"/>
      <c r="B60" s="137"/>
      <c r="C60" s="131"/>
      <c r="D60" s="138"/>
      <c r="E60" s="138"/>
      <c r="F60" s="139"/>
      <c r="G60" s="139"/>
    </row>
    <row r="61" spans="1:11" x14ac:dyDescent="0.3">
      <c r="A61" s="146"/>
      <c r="B61" s="137"/>
      <c r="C61" s="131"/>
      <c r="D61" s="138"/>
      <c r="E61" s="138"/>
      <c r="F61" s="139"/>
      <c r="G61" s="139"/>
    </row>
    <row r="62" spans="1:11" x14ac:dyDescent="0.3">
      <c r="A62" s="146"/>
      <c r="B62" s="137"/>
      <c r="C62" s="131"/>
      <c r="D62" s="138"/>
      <c r="E62" s="138"/>
      <c r="F62" s="139"/>
      <c r="G62" s="139"/>
    </row>
    <row r="63" spans="1:11" x14ac:dyDescent="0.3">
      <c r="A63" s="146"/>
      <c r="B63" s="137"/>
      <c r="C63" s="131"/>
      <c r="D63" s="138"/>
      <c r="E63" s="138"/>
      <c r="F63" s="139"/>
      <c r="G63" s="139"/>
    </row>
    <row r="64" spans="1:11" x14ac:dyDescent="0.3">
      <c r="A64" s="146"/>
      <c r="B64" s="137"/>
      <c r="C64" s="131"/>
      <c r="D64" s="138"/>
      <c r="E64" s="138"/>
      <c r="F64" s="139"/>
      <c r="G64" s="139"/>
    </row>
    <row r="65" spans="1:7" x14ac:dyDescent="0.3">
      <c r="A65" s="146"/>
      <c r="B65" s="137"/>
      <c r="C65" s="131"/>
      <c r="D65" s="138"/>
      <c r="E65" s="138"/>
      <c r="F65" s="139"/>
      <c r="G65" s="139"/>
    </row>
    <row r="66" spans="1:7" x14ac:dyDescent="0.3">
      <c r="A66" s="146"/>
      <c r="B66" s="137"/>
      <c r="C66" s="131"/>
      <c r="D66" s="138"/>
      <c r="E66" s="138"/>
      <c r="F66" s="139"/>
      <c r="G66" s="139"/>
    </row>
    <row r="67" spans="1:7" x14ac:dyDescent="0.3">
      <c r="A67" s="146"/>
      <c r="B67" s="137"/>
      <c r="C67" s="131"/>
      <c r="D67" s="138"/>
      <c r="E67" s="138"/>
      <c r="F67" s="139"/>
      <c r="G67" s="139"/>
    </row>
    <row r="68" spans="1:7" x14ac:dyDescent="0.3">
      <c r="A68" s="146"/>
      <c r="B68" s="137"/>
      <c r="C68" s="131"/>
      <c r="D68" s="138"/>
      <c r="E68" s="138"/>
      <c r="F68" s="139"/>
      <c r="G68" s="139"/>
    </row>
    <row r="69" spans="1:7" x14ac:dyDescent="0.3">
      <c r="A69" s="146"/>
      <c r="B69" s="137"/>
      <c r="C69" s="131"/>
      <c r="D69" s="138"/>
      <c r="E69" s="138"/>
      <c r="F69" s="139"/>
      <c r="G69" s="139"/>
    </row>
    <row r="70" spans="1:7" x14ac:dyDescent="0.3">
      <c r="A70" s="146"/>
      <c r="B70" s="137"/>
      <c r="C70" s="131"/>
      <c r="D70" s="138"/>
      <c r="E70" s="138"/>
      <c r="F70" s="139"/>
      <c r="G70" s="139"/>
    </row>
    <row r="71" spans="1:7" x14ac:dyDescent="0.3">
      <c r="A71" s="146"/>
      <c r="B71" s="137"/>
      <c r="C71" s="131"/>
      <c r="D71" s="138"/>
      <c r="E71" s="138"/>
      <c r="F71" s="139"/>
      <c r="G71" s="139"/>
    </row>
    <row r="72" spans="1:7" x14ac:dyDescent="0.3">
      <c r="A72" s="146"/>
      <c r="B72" s="137"/>
      <c r="C72" s="131"/>
      <c r="D72" s="138"/>
      <c r="E72" s="138"/>
      <c r="F72" s="139"/>
      <c r="G72" s="139"/>
    </row>
    <row r="73" spans="1:7" x14ac:dyDescent="0.3">
      <c r="A73" s="146"/>
      <c r="B73" s="137"/>
      <c r="C73" s="131"/>
      <c r="D73" s="138"/>
      <c r="E73" s="138"/>
      <c r="F73" s="139"/>
      <c r="G73" s="139"/>
    </row>
    <row r="74" spans="1:7" x14ac:dyDescent="0.3">
      <c r="A74" s="146"/>
      <c r="B74" s="137"/>
      <c r="C74" s="131"/>
      <c r="D74" s="138"/>
      <c r="E74" s="138"/>
      <c r="F74" s="139"/>
      <c r="G74" s="139"/>
    </row>
    <row r="75" spans="1:7" x14ac:dyDescent="0.3">
      <c r="A75" s="146"/>
      <c r="B75" s="137"/>
      <c r="C75" s="131"/>
      <c r="D75" s="138"/>
      <c r="E75" s="138"/>
      <c r="F75" s="139"/>
      <c r="G75" s="139"/>
    </row>
    <row r="76" spans="1:7" x14ac:dyDescent="0.3">
      <c r="A76" s="146"/>
      <c r="B76" s="137"/>
      <c r="C76" s="131"/>
      <c r="D76" s="138"/>
      <c r="E76" s="138"/>
      <c r="F76" s="139"/>
      <c r="G76" s="139"/>
    </row>
    <row r="77" spans="1:7" x14ac:dyDescent="0.3">
      <c r="A77" s="146"/>
      <c r="B77" s="137"/>
      <c r="C77" s="131"/>
      <c r="D77" s="138"/>
      <c r="E77" s="138"/>
      <c r="F77" s="139"/>
      <c r="G77" s="139"/>
    </row>
    <row r="78" spans="1:7" x14ac:dyDescent="0.3">
      <c r="A78" s="146"/>
      <c r="B78" s="137"/>
      <c r="C78" s="131"/>
      <c r="D78" s="138"/>
      <c r="E78" s="138"/>
      <c r="F78" s="139"/>
      <c r="G78" s="139"/>
    </row>
    <row r="79" spans="1:7" x14ac:dyDescent="0.3">
      <c r="A79" s="146"/>
      <c r="B79" s="137"/>
      <c r="C79" s="131"/>
      <c r="D79" s="138"/>
      <c r="E79" s="138"/>
      <c r="F79" s="139"/>
      <c r="G79" s="139"/>
    </row>
    <row r="80" spans="1:7" x14ac:dyDescent="0.3">
      <c r="A80" s="146"/>
      <c r="B80" s="137"/>
      <c r="C80" s="131"/>
      <c r="D80" s="138"/>
      <c r="E80" s="138"/>
      <c r="F80" s="139"/>
      <c r="G80" s="139"/>
    </row>
    <row r="81" spans="1:7" x14ac:dyDescent="0.3">
      <c r="A81" s="146"/>
      <c r="B81" s="137"/>
      <c r="C81" s="131"/>
      <c r="D81" s="138"/>
      <c r="E81" s="138"/>
      <c r="F81" s="139"/>
      <c r="G81" s="139"/>
    </row>
    <row r="82" spans="1:7" x14ac:dyDescent="0.3">
      <c r="A82" s="146"/>
      <c r="B82" s="137"/>
      <c r="C82" s="131"/>
      <c r="D82" s="138"/>
      <c r="E82" s="138"/>
      <c r="F82" s="139"/>
      <c r="G82" s="139"/>
    </row>
    <row r="83" spans="1:7" x14ac:dyDescent="0.3">
      <c r="A83" s="146"/>
      <c r="B83" s="137"/>
      <c r="C83" s="131"/>
      <c r="D83" s="138"/>
      <c r="E83" s="138"/>
      <c r="F83" s="139"/>
      <c r="G83" s="139"/>
    </row>
    <row r="84" spans="1:7" x14ac:dyDescent="0.3">
      <c r="A84" s="146"/>
      <c r="B84" s="137"/>
      <c r="C84" s="131"/>
      <c r="D84" s="138"/>
      <c r="E84" s="138"/>
      <c r="F84" s="139"/>
      <c r="G84" s="139"/>
    </row>
    <row r="85" spans="1:7" x14ac:dyDescent="0.3">
      <c r="A85" s="146"/>
      <c r="B85" s="143"/>
      <c r="C85" s="131"/>
      <c r="D85" s="138"/>
      <c r="E85" s="138"/>
      <c r="F85" s="139"/>
      <c r="G85" s="139"/>
    </row>
    <row r="86" spans="1:7" x14ac:dyDescent="0.3">
      <c r="A86" s="146"/>
      <c r="B86" s="143"/>
      <c r="C86" s="131"/>
      <c r="D86" s="138"/>
      <c r="E86" s="138"/>
      <c r="F86" s="139"/>
      <c r="G86" s="139"/>
    </row>
    <row r="87" spans="1:7" x14ac:dyDescent="0.3">
      <c r="A87" s="146"/>
      <c r="B87" s="130"/>
      <c r="C87" s="131"/>
      <c r="D87" s="138"/>
      <c r="E87" s="138"/>
      <c r="F87" s="139"/>
      <c r="G87" s="144"/>
    </row>
    <row r="88" spans="1:7" x14ac:dyDescent="0.3">
      <c r="A88" s="146"/>
      <c r="B88" s="130"/>
      <c r="C88" s="131"/>
      <c r="D88" s="138"/>
      <c r="E88" s="138"/>
      <c r="F88" s="139"/>
      <c r="G88" s="144"/>
    </row>
    <row r="89" spans="1:7" x14ac:dyDescent="0.3">
      <c r="A89" s="146"/>
      <c r="B89" s="130"/>
      <c r="C89" s="131"/>
      <c r="D89" s="138"/>
      <c r="E89" s="138"/>
      <c r="F89" s="139"/>
      <c r="G89" s="139"/>
    </row>
    <row r="90" spans="1:7" x14ac:dyDescent="0.3">
      <c r="A90" s="146"/>
      <c r="B90" s="130"/>
      <c r="C90" s="131"/>
      <c r="D90" s="138"/>
      <c r="E90" s="138"/>
      <c r="F90" s="139"/>
      <c r="G90" s="139"/>
    </row>
    <row r="91" spans="1:7" x14ac:dyDescent="0.3">
      <c r="A91" s="146"/>
      <c r="B91" s="130"/>
      <c r="C91" s="131"/>
      <c r="D91" s="138"/>
      <c r="E91" s="138"/>
      <c r="F91" s="139"/>
      <c r="G91" s="144"/>
    </row>
    <row r="92" spans="1:7" x14ac:dyDescent="0.3">
      <c r="A92" s="146"/>
      <c r="B92" s="130"/>
      <c r="C92" s="131"/>
      <c r="D92" s="138"/>
      <c r="E92" s="138"/>
      <c r="F92" s="139"/>
      <c r="G92" s="139"/>
    </row>
    <row r="93" spans="1:7" x14ac:dyDescent="0.3">
      <c r="A93" s="146"/>
      <c r="B93" s="130"/>
      <c r="C93" s="131"/>
      <c r="D93" s="138"/>
      <c r="E93" s="138"/>
      <c r="F93" s="139"/>
      <c r="G93" s="139"/>
    </row>
    <row r="94" spans="1:7" x14ac:dyDescent="0.3">
      <c r="A94" s="146"/>
      <c r="B94" s="130"/>
      <c r="C94" s="131"/>
      <c r="D94" s="138"/>
      <c r="E94" s="138"/>
      <c r="F94" s="139"/>
      <c r="G94" s="139"/>
    </row>
    <row r="95" spans="1:7" x14ac:dyDescent="0.3">
      <c r="A95" s="146"/>
      <c r="B95" s="130"/>
      <c r="C95" s="131"/>
      <c r="D95" s="138"/>
      <c r="E95" s="138"/>
      <c r="F95" s="139"/>
      <c r="G95" s="139"/>
    </row>
    <row r="96" spans="1:7" x14ac:dyDescent="0.3">
      <c r="A96" s="146"/>
      <c r="B96" s="130"/>
      <c r="C96" s="131"/>
      <c r="D96" s="138"/>
      <c r="E96" s="138"/>
      <c r="F96" s="145"/>
      <c r="G96" s="139"/>
    </row>
    <row r="97" spans="1:7" x14ac:dyDescent="0.3">
      <c r="A97" s="146"/>
      <c r="B97" s="130"/>
      <c r="C97" s="131"/>
      <c r="D97" s="138"/>
      <c r="E97" s="138"/>
      <c r="F97" s="145"/>
      <c r="G97" s="139"/>
    </row>
  </sheetData>
  <autoFilter ref="A1:G20" xr:uid="{00000000-0009-0000-0000-000000000000}">
    <sortState xmlns:xlrd2="http://schemas.microsoft.com/office/spreadsheetml/2017/richdata2" ref="A2:F20">
      <sortCondition ref="A1:A20"/>
    </sortState>
  </autoFilter>
  <sortState xmlns:xlrd2="http://schemas.microsoft.com/office/spreadsheetml/2017/richdata2" ref="A2:F96">
    <sortCondition ref="A2:A96"/>
  </sortState>
  <conditionalFormatting sqref="A23:A95">
    <cfRule type="duplicateValues" dxfId="596" priority="1"/>
  </conditionalFormatting>
  <conditionalFormatting sqref="A96">
    <cfRule type="duplicateValues" dxfId="595" priority="2"/>
  </conditionalFormatting>
  <conditionalFormatting sqref="A97">
    <cfRule type="duplicateValues" dxfId="594" priority="3"/>
  </conditionalFormatting>
  <conditionalFormatting sqref="B2:B6">
    <cfRule type="duplicateValues" dxfId="593" priority="4"/>
  </conditionalFormatting>
  <conditionalFormatting sqref="B7:B9">
    <cfRule type="duplicateValues" dxfId="592" priority="6"/>
  </conditionalFormatting>
  <conditionalFormatting sqref="B10:B94">
    <cfRule type="duplicateValues" dxfId="591" priority="2199"/>
  </conditionalFormatting>
  <conditionalFormatting sqref="B95">
    <cfRule type="duplicateValues" dxfId="590" priority="8"/>
  </conditionalFormatting>
  <conditionalFormatting sqref="B96">
    <cfRule type="duplicateValues" dxfId="589" priority="12"/>
  </conditionalFormatting>
  <conditionalFormatting sqref="B97">
    <cfRule type="duplicateValues" dxfId="588" priority="11"/>
  </conditionalFormatting>
  <conditionalFormatting sqref="C23:C95">
    <cfRule type="duplicateValues" dxfId="587" priority="628"/>
  </conditionalFormatting>
  <conditionalFormatting sqref="C96">
    <cfRule type="duplicateValues" dxfId="586" priority="2173"/>
  </conditionalFormatting>
  <conditionalFormatting sqref="C97">
    <cfRule type="duplicateValues" dxfId="585" priority="2174"/>
  </conditionalFormatting>
  <hyperlinks>
    <hyperlink ref="C11" r:id="rId1" display="jsantoya@ext.mineducacion.gov.co"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U557"/>
  <sheetViews>
    <sheetView showGridLines="0" tabSelected="1" zoomScaleNormal="100" workbookViewId="0">
      <pane ySplit="2" topLeftCell="A413" activePane="bottomLeft" state="frozen"/>
      <selection activeCell="D1" sqref="D1"/>
      <selection pane="bottomLeft" activeCell="D431" sqref="D431"/>
    </sheetView>
  </sheetViews>
  <sheetFormatPr baseColWidth="10" defaultColWidth="14.7109375" defaultRowHeight="21.75" customHeight="1" x14ac:dyDescent="0.3"/>
  <cols>
    <col min="1" max="1" width="30.5703125" style="40" customWidth="1"/>
    <col min="2" max="2" width="16.7109375" style="40" customWidth="1"/>
    <col min="3" max="3" width="41.42578125" style="40" customWidth="1"/>
    <col min="4" max="4" width="18.42578125" style="40" customWidth="1"/>
    <col min="5" max="5" width="41.85546875" style="40" bestFit="1" customWidth="1"/>
    <col min="6" max="6" width="17.140625" style="40" customWidth="1"/>
    <col min="7" max="7" width="11.7109375" style="40" customWidth="1"/>
    <col min="8" max="8" width="19.42578125" style="40" customWidth="1"/>
    <col min="9" max="9" width="19.42578125" style="153" customWidth="1"/>
    <col min="10" max="10" width="42.140625" style="39" bestFit="1" customWidth="1"/>
    <col min="11" max="11" width="21.42578125" style="40" customWidth="1"/>
    <col min="12" max="12" width="30.28515625" style="39" customWidth="1"/>
    <col min="13" max="13" width="29.5703125" style="40" customWidth="1"/>
    <col min="14" max="16" width="21.85546875" style="40" customWidth="1"/>
    <col min="17" max="17" width="19.140625" style="40" customWidth="1"/>
    <col min="18" max="19" width="30.85546875" style="40" customWidth="1"/>
    <col min="20" max="28" width="30.85546875" customWidth="1"/>
    <col min="29" max="32" width="30.85546875" style="40" customWidth="1"/>
    <col min="33" max="33" width="24.85546875" style="40" customWidth="1"/>
    <col min="34" max="34" width="26" style="40" customWidth="1"/>
    <col min="35" max="35" width="24.85546875" style="40" customWidth="1"/>
    <col min="36" max="36" width="20" style="40" customWidth="1"/>
    <col min="37" max="38" width="21.140625" style="40" customWidth="1"/>
    <col min="39" max="39" width="27" style="40" customWidth="1"/>
    <col min="40" max="40" width="29.85546875" style="38" customWidth="1"/>
    <col min="41" max="41" width="44.5703125" style="40" customWidth="1"/>
    <col min="42" max="42" width="49" style="40" customWidth="1"/>
    <col min="43" max="43" width="44.28515625" style="40" customWidth="1"/>
    <col min="44" max="44" width="24.7109375" style="40" customWidth="1"/>
    <col min="45" max="45" width="33.7109375" style="40" bestFit="1" customWidth="1"/>
    <col min="46" max="46" width="10.140625" style="40" bestFit="1" customWidth="1"/>
    <col min="47" max="47" width="13.42578125" style="195" customWidth="1"/>
    <col min="48" max="48" width="25" style="40" bestFit="1" customWidth="1"/>
    <col min="49" max="16384" width="14.7109375" style="40"/>
  </cols>
  <sheetData>
    <row r="1" spans="1:47" ht="33" customHeight="1" x14ac:dyDescent="0.3">
      <c r="A1" s="268" t="s">
        <v>226</v>
      </c>
      <c r="B1" s="268"/>
      <c r="C1" s="268"/>
      <c r="D1" s="268"/>
      <c r="E1" s="268"/>
      <c r="F1" s="268"/>
      <c r="G1" s="268"/>
      <c r="H1" s="268"/>
      <c r="I1" s="268"/>
      <c r="J1" s="268"/>
      <c r="K1" s="268"/>
      <c r="L1" s="268"/>
      <c r="M1" s="264" t="s">
        <v>223</v>
      </c>
      <c r="N1" s="264"/>
      <c r="O1" s="264"/>
      <c r="P1" s="264"/>
      <c r="Q1" s="264"/>
      <c r="R1" s="267" t="s">
        <v>86</v>
      </c>
      <c r="S1" s="267"/>
      <c r="T1" s="267"/>
      <c r="U1" s="267"/>
      <c r="V1" s="267"/>
      <c r="W1" s="265" t="s">
        <v>225</v>
      </c>
      <c r="X1" s="265"/>
      <c r="Y1" s="265"/>
      <c r="Z1" s="265"/>
      <c r="AA1" s="265"/>
      <c r="AB1" s="265"/>
      <c r="AC1" s="69"/>
      <c r="AD1" s="266" t="s">
        <v>224</v>
      </c>
      <c r="AE1" s="266"/>
      <c r="AF1" s="266"/>
      <c r="AN1" s="40"/>
      <c r="AO1" s="38"/>
    </row>
    <row r="2" spans="1:47" ht="51.75" customHeight="1" x14ac:dyDescent="0.3">
      <c r="A2" s="162" t="s">
        <v>71</v>
      </c>
      <c r="B2" s="41" t="s">
        <v>0</v>
      </c>
      <c r="C2" s="41" t="s">
        <v>59</v>
      </c>
      <c r="D2" s="41" t="s">
        <v>166</v>
      </c>
      <c r="E2" s="41" t="s">
        <v>163</v>
      </c>
      <c r="F2" s="41" t="s">
        <v>104</v>
      </c>
      <c r="G2" s="41" t="s">
        <v>1</v>
      </c>
      <c r="H2" s="41" t="s">
        <v>2</v>
      </c>
      <c r="I2" s="154" t="s">
        <v>111</v>
      </c>
      <c r="J2" s="41" t="s">
        <v>144</v>
      </c>
      <c r="K2" s="41" t="s">
        <v>141</v>
      </c>
      <c r="L2" s="41" t="s">
        <v>150</v>
      </c>
      <c r="M2" s="70" t="s">
        <v>112</v>
      </c>
      <c r="N2" s="70" t="s">
        <v>114</v>
      </c>
      <c r="O2" s="70" t="s">
        <v>115</v>
      </c>
      <c r="P2" s="70" t="s">
        <v>96</v>
      </c>
      <c r="Q2" s="68" t="s">
        <v>88</v>
      </c>
      <c r="R2" s="70" t="s">
        <v>97</v>
      </c>
      <c r="S2" s="70" t="s">
        <v>131</v>
      </c>
      <c r="T2" s="70" t="s">
        <v>133</v>
      </c>
      <c r="U2" s="70" t="s">
        <v>95</v>
      </c>
      <c r="V2" s="73" t="s">
        <v>86</v>
      </c>
      <c r="W2" s="70" t="s">
        <v>118</v>
      </c>
      <c r="X2" s="70" t="s">
        <v>120</v>
      </c>
      <c r="Y2" s="70" t="s">
        <v>122</v>
      </c>
      <c r="Z2" s="70" t="s">
        <v>124</v>
      </c>
      <c r="AA2" s="70" t="s">
        <v>126</v>
      </c>
      <c r="AB2" s="70" t="s">
        <v>128</v>
      </c>
      <c r="AC2" s="74" t="s">
        <v>98</v>
      </c>
      <c r="AD2" s="70" t="s">
        <v>136</v>
      </c>
      <c r="AE2" s="70" t="s">
        <v>138</v>
      </c>
      <c r="AF2" s="71" t="s">
        <v>100</v>
      </c>
      <c r="AG2" s="42" t="s">
        <v>66</v>
      </c>
      <c r="AH2" s="42" t="s">
        <v>68</v>
      </c>
      <c r="AI2" s="42" t="s">
        <v>69</v>
      </c>
      <c r="AJ2" s="42" t="s">
        <v>99</v>
      </c>
      <c r="AK2" s="42" t="s">
        <v>102</v>
      </c>
      <c r="AL2" s="42" t="s">
        <v>101</v>
      </c>
      <c r="AM2" s="42" t="s">
        <v>3</v>
      </c>
      <c r="AN2" s="42" t="s">
        <v>60</v>
      </c>
      <c r="AO2" s="42" t="s">
        <v>61</v>
      </c>
      <c r="AP2" s="42" t="s">
        <v>145</v>
      </c>
      <c r="AQ2" s="42" t="s">
        <v>62</v>
      </c>
      <c r="AR2" s="42" t="s">
        <v>213</v>
      </c>
      <c r="AS2" s="161" t="s">
        <v>93</v>
      </c>
      <c r="AT2" s="42" t="s">
        <v>90</v>
      </c>
      <c r="AU2" s="196" t="s">
        <v>72</v>
      </c>
    </row>
    <row r="3" spans="1:47" s="100" customFormat="1" ht="17.45" customHeight="1" x14ac:dyDescent="0.25">
      <c r="A3" s="163" t="str">
        <f>+IF(B3&gt;0,"Ministerio de Educación Nacional"," ")</f>
        <v>Ministerio de Educación Nacional</v>
      </c>
      <c r="B3" s="91">
        <f>+IFERROR(COUNTIF($J$3:J3,J3)," ")</f>
        <v>1</v>
      </c>
      <c r="C3" s="91" t="str">
        <f>+'Score BD'!$J3&amp;'Score BD'!$B3</f>
        <v>Ana Graciela Barbosa Villalobos1</v>
      </c>
      <c r="D3" s="91" t="s">
        <v>148</v>
      </c>
      <c r="E3" s="92" t="s">
        <v>210</v>
      </c>
      <c r="F3" s="92" t="s">
        <v>212</v>
      </c>
      <c r="G3" s="91" t="str">
        <f t="shared" ref="G3:G66" si="0">+PROPER(TEXT(H3,"mmmm"))</f>
        <v>Noviembre</v>
      </c>
      <c r="H3" s="93">
        <v>45966</v>
      </c>
      <c r="I3" s="94">
        <v>45965</v>
      </c>
      <c r="J3" s="95" t="s">
        <v>171</v>
      </c>
      <c r="K3" s="91">
        <f>IFERROR(VLOOKUP('Score BD'!$J3,Lista!A:B,2,0)," ")</f>
        <v>1026264261</v>
      </c>
      <c r="L3" s="95" t="s">
        <v>240</v>
      </c>
      <c r="M3" s="59" t="s">
        <v>4</v>
      </c>
      <c r="N3" s="59" t="s">
        <v>4</v>
      </c>
      <c r="O3" s="59" t="s">
        <v>4</v>
      </c>
      <c r="P3" s="59" t="s">
        <v>4</v>
      </c>
      <c r="Q3" s="96">
        <f t="shared" ref="Q3:Q66" si="1">+IF(M3="NO",0,25%)+IF(N3="NO",0,25%)+IF(O3="NO",0,25%)+IF(P3="NO",0,25%)</f>
        <v>1</v>
      </c>
      <c r="R3" s="59" t="s">
        <v>4</v>
      </c>
      <c r="S3" s="59" t="s">
        <v>4</v>
      </c>
      <c r="T3" s="59" t="s">
        <v>4</v>
      </c>
      <c r="U3" s="59" t="s">
        <v>4</v>
      </c>
      <c r="V3" s="97">
        <f t="shared" ref="V3:V66" si="2">+IF(R3="NO",0,25%)+IF(S3="NO",0,25%)+IF(T3="NO",0,25%)+IF(U3="NO",0,25%)</f>
        <v>1</v>
      </c>
      <c r="W3" s="59" t="s">
        <v>4</v>
      </c>
      <c r="X3" s="59" t="s">
        <v>4</v>
      </c>
      <c r="Y3" s="59" t="s">
        <v>4</v>
      </c>
      <c r="Z3" s="59" t="s">
        <v>4</v>
      </c>
      <c r="AA3" s="59" t="s">
        <v>4</v>
      </c>
      <c r="AB3" s="59" t="s">
        <v>4</v>
      </c>
      <c r="AC3" s="97">
        <f t="shared" ref="AC3:AC66" si="3">+IF(W3="NO",0%,16.6666666666667%)+IF(X3="NO",0%,16.6666666666667%)+IF(Y3="NO",0%,16.6666666666667%)+IF(Z3="NO",0%,16.6666666666667%)+IF(AA3="NO",0%,16.6666666666667%)+IF(AB3="NO",0%,16.6666666666667%)</f>
        <v>1.000000000000002</v>
      </c>
      <c r="AD3" s="59" t="s">
        <v>4</v>
      </c>
      <c r="AE3" s="59" t="s">
        <v>4</v>
      </c>
      <c r="AF3" s="97">
        <f t="shared" ref="AF3:AF66" si="4">+IF(AD3="NO",0%,50%)+IF(AE3="NO",0%,50%)</f>
        <v>1</v>
      </c>
      <c r="AG3" s="98">
        <f t="shared" ref="AG3:AG66" si="5">AVERAGE(AF3,AC3,V3,Q3)</f>
        <v>1.0000000000000004</v>
      </c>
      <c r="AH3" s="59">
        <f t="shared" ref="AH3:AH66" si="6">+COUNTIF(W3:AB3,"no")+COUNTIF(R3:U3,"no")+COUNTIF(AD3:AE3,"no")</f>
        <v>0</v>
      </c>
      <c r="AI3" s="59">
        <f>COUNTIF('Score BD'!$M3:$P3,"no")</f>
        <v>0</v>
      </c>
      <c r="AJ3" s="59">
        <f t="shared" ref="AJ3:AJ66" si="7">+IF(COUNTA(R3:U3)=0,"-",COUNTIF(R3:U3,"NO"))</f>
        <v>0</v>
      </c>
      <c r="AK3" s="59">
        <f t="shared" ref="AK3:AK66" si="8">+IF(COUNTA(W3:AB3)=0,"-",COUNTIF(W3:AB3,"NO"))</f>
        <v>0</v>
      </c>
      <c r="AL3" s="59">
        <f t="shared" ref="AL3:AL66" si="9">+IF(COUNTA(AD3:AE3)=0,"-",COUNTIF(AD3:AE3,"NO"))</f>
        <v>0</v>
      </c>
      <c r="AM3" s="59" t="s">
        <v>266</v>
      </c>
      <c r="AN3" s="59"/>
      <c r="AO3" s="59"/>
      <c r="AP3" s="59"/>
      <c r="AQ3" s="59" t="str">
        <f>IFERROR(_xlfn.XLOOKUP(Tabla1[[#This Row],[Cedula agente]],Lista!$B$2:$B$97,Lista!$G$2:$G$97)," ")</f>
        <v>Luisa Fernanda Benavides Castrillon</v>
      </c>
      <c r="AR3" s="59" t="s">
        <v>162</v>
      </c>
      <c r="AS3" s="46" t="str">
        <f>IFERROR(_xlfn.XLOOKUP(Tabla1[[#This Row],[Cedula agente]],Lista!$B$2:$B$97,Lista!$F$2:$F$97)," ")</f>
        <v>John Sebastian Roncancio Avendaño</v>
      </c>
      <c r="AT3" s="99">
        <v>0.95</v>
      </c>
      <c r="AU3" s="197">
        <f>+WEEKNUM('Score BD'!$H3)-WEEKNUM(DATE(YEAR('Score BD'!$H3),MONTH('Score BD'!$H3),1))+1</f>
        <v>2</v>
      </c>
    </row>
    <row r="4" spans="1:47" s="100" customFormat="1" ht="17.45" customHeight="1" x14ac:dyDescent="0.25">
      <c r="A4" s="163" t="str">
        <f t="shared" ref="A4:A66" si="10">+IF(B4&gt;0,"Ministerio de Educación Nacional"," ")</f>
        <v>Ministerio de Educación Nacional</v>
      </c>
      <c r="B4" s="91">
        <f>+IFERROR(COUNTIF($J$3:J4,J4)," ")</f>
        <v>2</v>
      </c>
      <c r="C4" s="91" t="str">
        <f>+'Score BD'!$J4&amp;'Score BD'!$B4</f>
        <v>Ana Graciela Barbosa Villalobos2</v>
      </c>
      <c r="D4" s="91" t="s">
        <v>148</v>
      </c>
      <c r="E4" s="92" t="s">
        <v>210</v>
      </c>
      <c r="F4" s="92" t="s">
        <v>212</v>
      </c>
      <c r="G4" s="91" t="str">
        <f t="shared" si="0"/>
        <v>Noviembre</v>
      </c>
      <c r="H4" s="93">
        <v>45966</v>
      </c>
      <c r="I4" s="94">
        <v>45965</v>
      </c>
      <c r="J4" s="95" t="s">
        <v>171</v>
      </c>
      <c r="K4" s="91">
        <f>IFERROR(VLOOKUP('Score BD'!$J4,Lista!A:B,2,0)," ")</f>
        <v>1026264261</v>
      </c>
      <c r="L4" s="157" t="s">
        <v>241</v>
      </c>
      <c r="M4" s="59" t="s">
        <v>4</v>
      </c>
      <c r="N4" s="59" t="s">
        <v>4</v>
      </c>
      <c r="O4" s="59" t="s">
        <v>4</v>
      </c>
      <c r="P4" s="59" t="s">
        <v>4</v>
      </c>
      <c r="Q4" s="96">
        <f t="shared" si="1"/>
        <v>1</v>
      </c>
      <c r="R4" s="59" t="s">
        <v>4</v>
      </c>
      <c r="S4" s="59" t="s">
        <v>4</v>
      </c>
      <c r="T4" s="59" t="s">
        <v>4</v>
      </c>
      <c r="U4" s="59" t="s">
        <v>4</v>
      </c>
      <c r="V4" s="97">
        <f t="shared" si="2"/>
        <v>1</v>
      </c>
      <c r="W4" s="59" t="s">
        <v>4</v>
      </c>
      <c r="X4" s="59" t="s">
        <v>4</v>
      </c>
      <c r="Y4" s="59" t="s">
        <v>4</v>
      </c>
      <c r="Z4" s="59" t="s">
        <v>4</v>
      </c>
      <c r="AA4" s="59" t="s">
        <v>4</v>
      </c>
      <c r="AB4" s="59" t="s">
        <v>4</v>
      </c>
      <c r="AC4" s="97">
        <f t="shared" si="3"/>
        <v>1.000000000000002</v>
      </c>
      <c r="AD4" s="59" t="s">
        <v>4</v>
      </c>
      <c r="AE4" s="59" t="s">
        <v>4</v>
      </c>
      <c r="AF4" s="97">
        <f t="shared" si="4"/>
        <v>1</v>
      </c>
      <c r="AG4" s="98">
        <f t="shared" si="5"/>
        <v>1.0000000000000004</v>
      </c>
      <c r="AH4" s="59">
        <f t="shared" si="6"/>
        <v>0</v>
      </c>
      <c r="AI4" s="59">
        <f>COUNTIF('Score BD'!$M4:$P4,"no")</f>
        <v>0</v>
      </c>
      <c r="AJ4" s="59">
        <f t="shared" si="7"/>
        <v>0</v>
      </c>
      <c r="AK4" s="59">
        <f t="shared" si="8"/>
        <v>0</v>
      </c>
      <c r="AL4" s="59">
        <f t="shared" si="9"/>
        <v>0</v>
      </c>
      <c r="AM4" s="59" t="s">
        <v>266</v>
      </c>
      <c r="AN4" s="59"/>
      <c r="AO4" s="59"/>
      <c r="AP4" s="59"/>
      <c r="AQ4" s="59" t="str">
        <f>IFERROR(_xlfn.XLOOKUP(Tabla1[[#This Row],[Cedula agente]],Lista!$B$2:$B$97,Lista!$G$2:$G$97)," ")</f>
        <v>Luisa Fernanda Benavides Castrillon</v>
      </c>
      <c r="AR4" s="59" t="s">
        <v>162</v>
      </c>
      <c r="AS4" s="46" t="str">
        <f>IFERROR(_xlfn.XLOOKUP(Tabla1[[#This Row],[Cedula agente]],Lista!$B$2:$B$97,Lista!$F$2:$F$97)," ")</f>
        <v>John Sebastian Roncancio Avendaño</v>
      </c>
      <c r="AT4" s="99">
        <v>0.95</v>
      </c>
      <c r="AU4" s="197">
        <f>+WEEKNUM('Score BD'!$H4)-WEEKNUM(DATE(YEAR('Score BD'!$H4),MONTH('Score BD'!$H4),1))+1</f>
        <v>2</v>
      </c>
    </row>
    <row r="5" spans="1:47" s="100" customFormat="1" ht="17.45" customHeight="1" x14ac:dyDescent="0.25">
      <c r="A5" s="163" t="str">
        <f t="shared" si="10"/>
        <v>Ministerio de Educación Nacional</v>
      </c>
      <c r="B5" s="91">
        <f>+IFERROR(COUNTIF($J$3:J5,J5)," ")</f>
        <v>1</v>
      </c>
      <c r="C5" s="91" t="str">
        <f>+'Score BD'!$J5&amp;'Score BD'!$B5</f>
        <v>Cesar Rodrigo García1</v>
      </c>
      <c r="D5" s="91" t="s">
        <v>148</v>
      </c>
      <c r="E5" s="92" t="s">
        <v>165</v>
      </c>
      <c r="F5" s="92" t="s">
        <v>212</v>
      </c>
      <c r="G5" s="91" t="str">
        <f t="shared" si="0"/>
        <v>Noviembre</v>
      </c>
      <c r="H5" s="93">
        <v>45966</v>
      </c>
      <c r="I5" s="94">
        <v>45965</v>
      </c>
      <c r="J5" s="95" t="s">
        <v>172</v>
      </c>
      <c r="K5" s="91">
        <f>IFERROR(VLOOKUP('Score BD'!$J5,Lista!A:B,2,0)," ")</f>
        <v>1069257937</v>
      </c>
      <c r="L5" s="157" t="s">
        <v>242</v>
      </c>
      <c r="M5" s="59" t="s">
        <v>4</v>
      </c>
      <c r="N5" s="59" t="s">
        <v>4</v>
      </c>
      <c r="O5" s="59" t="s">
        <v>4</v>
      </c>
      <c r="P5" s="59" t="s">
        <v>4</v>
      </c>
      <c r="Q5" s="96">
        <f t="shared" si="1"/>
        <v>1</v>
      </c>
      <c r="R5" s="59" t="s">
        <v>4</v>
      </c>
      <c r="S5" s="59" t="s">
        <v>4</v>
      </c>
      <c r="T5" s="59" t="s">
        <v>4</v>
      </c>
      <c r="U5" s="59" t="s">
        <v>4</v>
      </c>
      <c r="V5" s="97">
        <f t="shared" si="2"/>
        <v>1</v>
      </c>
      <c r="W5" s="59" t="s">
        <v>4</v>
      </c>
      <c r="X5" s="59" t="s">
        <v>4</v>
      </c>
      <c r="Y5" s="59" t="s">
        <v>4</v>
      </c>
      <c r="Z5" s="59" t="s">
        <v>4</v>
      </c>
      <c r="AA5" s="59" t="s">
        <v>4</v>
      </c>
      <c r="AB5" s="59" t="s">
        <v>4</v>
      </c>
      <c r="AC5" s="97">
        <f t="shared" si="3"/>
        <v>1.000000000000002</v>
      </c>
      <c r="AD5" s="59" t="s">
        <v>4</v>
      </c>
      <c r="AE5" s="59" t="s">
        <v>4</v>
      </c>
      <c r="AF5" s="97">
        <f t="shared" si="4"/>
        <v>1</v>
      </c>
      <c r="AG5" s="98">
        <f t="shared" si="5"/>
        <v>1.0000000000000004</v>
      </c>
      <c r="AH5" s="59">
        <f t="shared" si="6"/>
        <v>0</v>
      </c>
      <c r="AI5" s="59">
        <f>COUNTIF('Score BD'!$M5:$P5,"no")</f>
        <v>0</v>
      </c>
      <c r="AJ5" s="59">
        <f t="shared" si="7"/>
        <v>0</v>
      </c>
      <c r="AK5" s="59">
        <f t="shared" si="8"/>
        <v>0</v>
      </c>
      <c r="AL5" s="59">
        <f t="shared" si="9"/>
        <v>0</v>
      </c>
      <c r="AM5" s="59" t="s">
        <v>266</v>
      </c>
      <c r="AN5" s="59"/>
      <c r="AO5" s="59"/>
      <c r="AP5" s="59"/>
      <c r="AQ5" s="59" t="str">
        <f>IFERROR(_xlfn.XLOOKUP(Tabla1[[#This Row],[Cedula agente]],Lista!$B$2:$B$97,Lista!$G$2:$G$97)," ")</f>
        <v>Luisa Fernanda Benavides Castrillon</v>
      </c>
      <c r="AR5" s="59" t="s">
        <v>162</v>
      </c>
      <c r="AS5" s="46" t="str">
        <f>IFERROR(_xlfn.XLOOKUP(Tabla1[[#This Row],[Cedula agente]],Lista!$B$2:$B$97,Lista!$F$2:$F$97)," ")</f>
        <v>John Sebastian Roncancio Avendaño</v>
      </c>
      <c r="AT5" s="99">
        <v>0.95</v>
      </c>
      <c r="AU5" s="197">
        <f>+WEEKNUM('Score BD'!$H5)-WEEKNUM(DATE(YEAR('Score BD'!$H5),MONTH('Score BD'!$H5),1))+1</f>
        <v>2</v>
      </c>
    </row>
    <row r="6" spans="1:47" s="100" customFormat="1" ht="17.45" customHeight="1" x14ac:dyDescent="0.25">
      <c r="A6" s="163" t="str">
        <f t="shared" si="10"/>
        <v>Ministerio de Educación Nacional</v>
      </c>
      <c r="B6" s="91">
        <f>+IFERROR(COUNTIF($J$3:J6,J6)," ")</f>
        <v>1</v>
      </c>
      <c r="C6" s="91" t="str">
        <f>+'Score BD'!$J6&amp;'Score BD'!$B6</f>
        <v>Cristian Enrique Benitez Rodriguez1</v>
      </c>
      <c r="D6" s="91" t="s">
        <v>148</v>
      </c>
      <c r="E6" s="92" t="s">
        <v>165</v>
      </c>
      <c r="F6" s="92" t="s">
        <v>212</v>
      </c>
      <c r="G6" s="91" t="str">
        <f t="shared" si="0"/>
        <v>Noviembre</v>
      </c>
      <c r="H6" s="93">
        <v>45966</v>
      </c>
      <c r="I6" s="94">
        <v>45965</v>
      </c>
      <c r="J6" s="95" t="s">
        <v>173</v>
      </c>
      <c r="K6" s="91">
        <f>IFERROR(VLOOKUP('Score BD'!$J6,Lista!A:B,2,0)," ")</f>
        <v>1026574814</v>
      </c>
      <c r="L6" s="157" t="s">
        <v>243</v>
      </c>
      <c r="M6" s="59" t="s">
        <v>4</v>
      </c>
      <c r="N6" s="59" t="s">
        <v>4</v>
      </c>
      <c r="O6" s="59" t="s">
        <v>4</v>
      </c>
      <c r="P6" s="59" t="s">
        <v>4</v>
      </c>
      <c r="Q6" s="96">
        <f t="shared" si="1"/>
        <v>1</v>
      </c>
      <c r="R6" s="59" t="s">
        <v>4</v>
      </c>
      <c r="S6" s="59" t="s">
        <v>4</v>
      </c>
      <c r="T6" s="59" t="s">
        <v>4</v>
      </c>
      <c r="U6" s="59" t="s">
        <v>4</v>
      </c>
      <c r="V6" s="97">
        <f t="shared" si="2"/>
        <v>1</v>
      </c>
      <c r="W6" s="59" t="s">
        <v>4</v>
      </c>
      <c r="X6" s="59" t="s">
        <v>4</v>
      </c>
      <c r="Y6" s="59" t="s">
        <v>4</v>
      </c>
      <c r="Z6" s="59" t="s">
        <v>4</v>
      </c>
      <c r="AA6" s="59" t="s">
        <v>4</v>
      </c>
      <c r="AB6" s="59" t="s">
        <v>4</v>
      </c>
      <c r="AC6" s="97">
        <f t="shared" si="3"/>
        <v>1.000000000000002</v>
      </c>
      <c r="AD6" s="59" t="s">
        <v>4</v>
      </c>
      <c r="AE6" s="59" t="s">
        <v>4</v>
      </c>
      <c r="AF6" s="97">
        <f t="shared" si="4"/>
        <v>1</v>
      </c>
      <c r="AG6" s="98">
        <f t="shared" si="5"/>
        <v>1.0000000000000004</v>
      </c>
      <c r="AH6" s="59">
        <f t="shared" si="6"/>
        <v>0</v>
      </c>
      <c r="AI6" s="59">
        <f>COUNTIF('Score BD'!$M6:$P6,"no")</f>
        <v>0</v>
      </c>
      <c r="AJ6" s="59">
        <f t="shared" si="7"/>
        <v>0</v>
      </c>
      <c r="AK6" s="59">
        <f t="shared" si="8"/>
        <v>0</v>
      </c>
      <c r="AL6" s="59">
        <f t="shared" si="9"/>
        <v>0</v>
      </c>
      <c r="AM6" s="59" t="s">
        <v>266</v>
      </c>
      <c r="AN6" s="59"/>
      <c r="AO6" s="59"/>
      <c r="AP6" s="59"/>
      <c r="AQ6" s="59" t="str">
        <f>IFERROR(_xlfn.XLOOKUP(Tabla1[[#This Row],[Cedula agente]],Lista!$B$2:$B$97,Lista!$G$2:$G$97)," ")</f>
        <v>Luisa Fernanda Benavides Castrillon</v>
      </c>
      <c r="AR6" s="59" t="s">
        <v>162</v>
      </c>
      <c r="AS6" s="46" t="str">
        <f>IFERROR(_xlfn.XLOOKUP(Tabla1[[#This Row],[Cedula agente]],Lista!$B$2:$B$97,Lista!$F$2:$F$97)," ")</f>
        <v>John Sebastian Roncancio Avendaño</v>
      </c>
      <c r="AT6" s="99">
        <v>0.95</v>
      </c>
      <c r="AU6" s="197">
        <f>+WEEKNUM('Score BD'!$H6)-WEEKNUM(DATE(YEAR('Score BD'!$H6),MONTH('Score BD'!$H6),1))+1</f>
        <v>2</v>
      </c>
    </row>
    <row r="7" spans="1:47" s="100" customFormat="1" ht="17.45" customHeight="1" x14ac:dyDescent="0.25">
      <c r="A7" s="163" t="str">
        <f t="shared" si="10"/>
        <v>Ministerio de Educación Nacional</v>
      </c>
      <c r="B7" s="91">
        <f>+IFERROR(COUNTIF($J$3:J7,J7)," ")</f>
        <v>1</v>
      </c>
      <c r="C7" s="91" t="str">
        <f>+'Score BD'!$J7&amp;'Score BD'!$B7</f>
        <v>Erika Natalia Ramírez Herrera1</v>
      </c>
      <c r="D7" s="91" t="s">
        <v>148</v>
      </c>
      <c r="E7" s="92" t="s">
        <v>164</v>
      </c>
      <c r="F7" s="92" t="s">
        <v>212</v>
      </c>
      <c r="G7" s="91" t="str">
        <f t="shared" si="0"/>
        <v>Noviembre</v>
      </c>
      <c r="H7" s="93">
        <v>45966</v>
      </c>
      <c r="I7" s="94">
        <v>45965</v>
      </c>
      <c r="J7" s="95" t="s">
        <v>174</v>
      </c>
      <c r="K7" s="91">
        <f>IFERROR(VLOOKUP('Score BD'!$J7,Lista!A:B,2,0)," ")</f>
        <v>1032367072</v>
      </c>
      <c r="L7" s="157" t="s">
        <v>244</v>
      </c>
      <c r="M7" s="59" t="s">
        <v>4</v>
      </c>
      <c r="N7" s="59" t="s">
        <v>4</v>
      </c>
      <c r="O7" s="59" t="s">
        <v>4</v>
      </c>
      <c r="P7" s="59" t="s">
        <v>4</v>
      </c>
      <c r="Q7" s="96">
        <f t="shared" si="1"/>
        <v>1</v>
      </c>
      <c r="R7" s="59" t="s">
        <v>4</v>
      </c>
      <c r="S7" s="59" t="s">
        <v>4</v>
      </c>
      <c r="T7" s="59" t="s">
        <v>4</v>
      </c>
      <c r="U7" s="59" t="s">
        <v>4</v>
      </c>
      <c r="V7" s="97">
        <f t="shared" si="2"/>
        <v>1</v>
      </c>
      <c r="W7" s="59" t="s">
        <v>4</v>
      </c>
      <c r="X7" s="59" t="s">
        <v>4</v>
      </c>
      <c r="Y7" s="59" t="s">
        <v>4</v>
      </c>
      <c r="Z7" s="59" t="s">
        <v>4</v>
      </c>
      <c r="AA7" s="59" t="s">
        <v>4</v>
      </c>
      <c r="AB7" s="59" t="s">
        <v>4</v>
      </c>
      <c r="AC7" s="97">
        <f t="shared" si="3"/>
        <v>1.000000000000002</v>
      </c>
      <c r="AD7" s="59" t="s">
        <v>4</v>
      </c>
      <c r="AE7" s="59" t="s">
        <v>4</v>
      </c>
      <c r="AF7" s="97">
        <f t="shared" si="4"/>
        <v>1</v>
      </c>
      <c r="AG7" s="98">
        <f t="shared" si="5"/>
        <v>1.0000000000000004</v>
      </c>
      <c r="AH7" s="59">
        <f t="shared" si="6"/>
        <v>0</v>
      </c>
      <c r="AI7" s="59">
        <f>COUNTIF('Score BD'!$M7:$P7,"no")</f>
        <v>0</v>
      </c>
      <c r="AJ7" s="59">
        <f t="shared" si="7"/>
        <v>0</v>
      </c>
      <c r="AK7" s="59">
        <f t="shared" si="8"/>
        <v>0</v>
      </c>
      <c r="AL7" s="59">
        <f t="shared" si="9"/>
        <v>0</v>
      </c>
      <c r="AM7" s="59" t="s">
        <v>266</v>
      </c>
      <c r="AN7" s="59"/>
      <c r="AO7" s="59"/>
      <c r="AP7" s="59"/>
      <c r="AQ7" s="59" t="str">
        <f>IFERROR(_xlfn.XLOOKUP(Tabla1[[#This Row],[Cedula agente]],Lista!$B$2:$B$97,Lista!$G$2:$G$97)," ")</f>
        <v>Luisa Fernanda Benavides Castrillon</v>
      </c>
      <c r="AR7" s="59" t="s">
        <v>162</v>
      </c>
      <c r="AS7" s="46" t="str">
        <f>IFERROR(_xlfn.XLOOKUP(Tabla1[[#This Row],[Cedula agente]],Lista!$B$2:$B$97,Lista!$F$2:$F$97)," ")</f>
        <v>John Sebastian Roncancio Avendaño</v>
      </c>
      <c r="AT7" s="99">
        <v>0.95</v>
      </c>
      <c r="AU7" s="197">
        <f>+WEEKNUM('Score BD'!$H7)-WEEKNUM(DATE(YEAR('Score BD'!$H7),MONTH('Score BD'!$H7),1))+1</f>
        <v>2</v>
      </c>
    </row>
    <row r="8" spans="1:47" s="100" customFormat="1" ht="17.45" customHeight="1" x14ac:dyDescent="0.3">
      <c r="A8" s="163" t="str">
        <f t="shared" si="10"/>
        <v>Ministerio de Educación Nacional</v>
      </c>
      <c r="B8" s="91">
        <f>+IFERROR(COUNTIF($J$3:J8,J8)," ")</f>
        <v>2</v>
      </c>
      <c r="C8" s="91" t="str">
        <f>+'Score BD'!$J8&amp;'Score BD'!$B8</f>
        <v>Erika Natalia Ramírez Herrera2</v>
      </c>
      <c r="D8" s="91" t="s">
        <v>148</v>
      </c>
      <c r="E8" s="92" t="s">
        <v>164</v>
      </c>
      <c r="F8" s="92" t="s">
        <v>212</v>
      </c>
      <c r="G8" s="91" t="str">
        <f t="shared" si="0"/>
        <v>Noviembre</v>
      </c>
      <c r="H8" s="93">
        <v>45966</v>
      </c>
      <c r="I8" s="94">
        <v>45965</v>
      </c>
      <c r="J8" s="95" t="s">
        <v>174</v>
      </c>
      <c r="K8" s="91">
        <f>IFERROR(VLOOKUP('Score BD'!$J8,Lista!A:B,2,0)," ")</f>
        <v>1032367072</v>
      </c>
      <c r="L8" s="157" t="s">
        <v>245</v>
      </c>
      <c r="M8" s="59" t="s">
        <v>4</v>
      </c>
      <c r="N8" s="59" t="s">
        <v>4</v>
      </c>
      <c r="O8" s="59" t="s">
        <v>4</v>
      </c>
      <c r="P8" s="59" t="s">
        <v>4</v>
      </c>
      <c r="Q8" s="96">
        <f t="shared" si="1"/>
        <v>1</v>
      </c>
      <c r="R8" s="59" t="s">
        <v>4</v>
      </c>
      <c r="S8" s="59" t="s">
        <v>4</v>
      </c>
      <c r="T8" s="59" t="s">
        <v>4</v>
      </c>
      <c r="U8" s="59" t="s">
        <v>4</v>
      </c>
      <c r="V8" s="97">
        <f t="shared" si="2"/>
        <v>1</v>
      </c>
      <c r="W8" s="59" t="s">
        <v>4</v>
      </c>
      <c r="X8" s="59" t="s">
        <v>4</v>
      </c>
      <c r="Y8" s="59" t="s">
        <v>4</v>
      </c>
      <c r="Z8" s="59" t="s">
        <v>4</v>
      </c>
      <c r="AA8" s="59" t="s">
        <v>4</v>
      </c>
      <c r="AB8" s="59" t="s">
        <v>4</v>
      </c>
      <c r="AC8" s="97">
        <f t="shared" si="3"/>
        <v>1.000000000000002</v>
      </c>
      <c r="AD8" s="59" t="s">
        <v>4</v>
      </c>
      <c r="AE8" s="59" t="s">
        <v>4</v>
      </c>
      <c r="AF8" s="97">
        <f t="shared" si="4"/>
        <v>1</v>
      </c>
      <c r="AG8" s="98">
        <f t="shared" si="5"/>
        <v>1.0000000000000004</v>
      </c>
      <c r="AH8" s="59">
        <f t="shared" si="6"/>
        <v>0</v>
      </c>
      <c r="AI8" s="59">
        <f>COUNTIF('Score BD'!$M8:$P8,"no")</f>
        <v>0</v>
      </c>
      <c r="AJ8" s="59">
        <f t="shared" si="7"/>
        <v>0</v>
      </c>
      <c r="AK8" s="59">
        <f t="shared" si="8"/>
        <v>0</v>
      </c>
      <c r="AL8" s="59">
        <f t="shared" si="9"/>
        <v>0</v>
      </c>
      <c r="AM8" s="59" t="s">
        <v>266</v>
      </c>
      <c r="AN8" s="59"/>
      <c r="AO8" s="105"/>
      <c r="AP8" s="59"/>
      <c r="AQ8" s="59" t="str">
        <f>IFERROR(_xlfn.XLOOKUP(Tabla1[[#This Row],[Cedula agente]],Lista!$B$2:$B$97,Lista!$G$2:$G$97)," ")</f>
        <v>Luisa Fernanda Benavides Castrillon</v>
      </c>
      <c r="AR8" s="59" t="s">
        <v>162</v>
      </c>
      <c r="AS8" s="46" t="str">
        <f>IFERROR(_xlfn.XLOOKUP(Tabla1[[#This Row],[Cedula agente]],Lista!$B$2:$B$97,Lista!$F$2:$F$97)," ")</f>
        <v>John Sebastian Roncancio Avendaño</v>
      </c>
      <c r="AT8" s="99">
        <v>0.95</v>
      </c>
      <c r="AU8" s="197">
        <f>+WEEKNUM('Score BD'!$H8)-WEEKNUM(DATE(YEAR('Score BD'!$H8),MONTH('Score BD'!$H8),1))+1</f>
        <v>2</v>
      </c>
    </row>
    <row r="9" spans="1:47" s="100" customFormat="1" ht="17.45" customHeight="1" x14ac:dyDescent="0.25">
      <c r="A9" s="163" t="str">
        <f t="shared" si="10"/>
        <v>Ministerio de Educación Nacional</v>
      </c>
      <c r="B9" s="91">
        <f>+IFERROR(COUNTIF($J$3:J9,J9)," ")</f>
        <v>1</v>
      </c>
      <c r="C9" s="91" t="str">
        <f>+'Score BD'!$J9&amp;'Score BD'!$B9</f>
        <v>Henry Eduardo Padilla Castilla1</v>
      </c>
      <c r="D9" s="91" t="s">
        <v>148</v>
      </c>
      <c r="E9" s="92" t="s">
        <v>165</v>
      </c>
      <c r="F9" s="92" t="s">
        <v>212</v>
      </c>
      <c r="G9" s="91" t="str">
        <f t="shared" si="0"/>
        <v>Noviembre</v>
      </c>
      <c r="H9" s="93">
        <v>45966</v>
      </c>
      <c r="I9" s="94">
        <v>45965</v>
      </c>
      <c r="J9" s="95" t="s">
        <v>175</v>
      </c>
      <c r="K9" s="91">
        <f>IFERROR(VLOOKUP('Score BD'!$J9,Lista!A:B,2,0)," ")</f>
        <v>1063968280</v>
      </c>
      <c r="L9" s="157" t="s">
        <v>246</v>
      </c>
      <c r="M9" s="59" t="s">
        <v>4</v>
      </c>
      <c r="N9" s="59" t="s">
        <v>4</v>
      </c>
      <c r="O9" s="59" t="s">
        <v>4</v>
      </c>
      <c r="P9" s="59" t="s">
        <v>4</v>
      </c>
      <c r="Q9" s="96">
        <f t="shared" si="1"/>
        <v>1</v>
      </c>
      <c r="R9" s="59" t="s">
        <v>4</v>
      </c>
      <c r="S9" s="59" t="s">
        <v>4</v>
      </c>
      <c r="T9" s="59" t="s">
        <v>4</v>
      </c>
      <c r="U9" s="59" t="s">
        <v>4</v>
      </c>
      <c r="V9" s="97">
        <f t="shared" si="2"/>
        <v>1</v>
      </c>
      <c r="W9" s="59" t="s">
        <v>4</v>
      </c>
      <c r="X9" s="59" t="s">
        <v>4</v>
      </c>
      <c r="Y9" s="59" t="s">
        <v>4</v>
      </c>
      <c r="Z9" s="59" t="s">
        <v>4</v>
      </c>
      <c r="AA9" s="59" t="s">
        <v>4</v>
      </c>
      <c r="AB9" s="59" t="s">
        <v>4</v>
      </c>
      <c r="AC9" s="97">
        <f t="shared" si="3"/>
        <v>1.000000000000002</v>
      </c>
      <c r="AD9" s="59" t="s">
        <v>4</v>
      </c>
      <c r="AE9" s="59" t="s">
        <v>4</v>
      </c>
      <c r="AF9" s="97">
        <f t="shared" si="4"/>
        <v>1</v>
      </c>
      <c r="AG9" s="98">
        <f t="shared" si="5"/>
        <v>1.0000000000000004</v>
      </c>
      <c r="AH9" s="59">
        <f t="shared" si="6"/>
        <v>0</v>
      </c>
      <c r="AI9" s="59">
        <f>COUNTIF('Score BD'!$M9:$P9,"no")</f>
        <v>0</v>
      </c>
      <c r="AJ9" s="59">
        <f t="shared" si="7"/>
        <v>0</v>
      </c>
      <c r="AK9" s="59">
        <f t="shared" si="8"/>
        <v>0</v>
      </c>
      <c r="AL9" s="59">
        <f t="shared" si="9"/>
        <v>0</v>
      </c>
      <c r="AM9" s="59" t="s">
        <v>266</v>
      </c>
      <c r="AN9" s="59"/>
      <c r="AO9" s="59"/>
      <c r="AP9" s="59"/>
      <c r="AQ9" s="59" t="str">
        <f>IFERROR(_xlfn.XLOOKUP(Tabla1[[#This Row],[Cedula agente]],Lista!$B$2:$B$97,Lista!$G$2:$G$97)," ")</f>
        <v>Luisa Fernanda Benavides Castrillon</v>
      </c>
      <c r="AR9" s="59" t="s">
        <v>162</v>
      </c>
      <c r="AS9" s="46" t="str">
        <f>IFERROR(_xlfn.XLOOKUP(Tabla1[[#This Row],[Cedula agente]],Lista!$B$2:$B$97,Lista!$F$2:$F$97)," ")</f>
        <v>John Sebastian Roncancio Avendaño</v>
      </c>
      <c r="AT9" s="99">
        <v>0.95</v>
      </c>
      <c r="AU9" s="197">
        <f>+WEEKNUM('Score BD'!$H9)-WEEKNUM(DATE(YEAR('Score BD'!$H9),MONTH('Score BD'!$H9),1))+1</f>
        <v>2</v>
      </c>
    </row>
    <row r="10" spans="1:47" s="100" customFormat="1" ht="17.45" customHeight="1" x14ac:dyDescent="0.25">
      <c r="A10" s="163" t="str">
        <f t="shared" si="10"/>
        <v>Ministerio de Educación Nacional</v>
      </c>
      <c r="B10" s="91">
        <f>+IFERROR(COUNTIF($J$3:J10,J10)," ")</f>
        <v>2</v>
      </c>
      <c r="C10" s="91" t="str">
        <f>+'Score BD'!$J10&amp;'Score BD'!$B10</f>
        <v>Henry Eduardo Padilla Castilla2</v>
      </c>
      <c r="D10" s="91" t="s">
        <v>148</v>
      </c>
      <c r="E10" s="92" t="s">
        <v>165</v>
      </c>
      <c r="F10" s="92" t="s">
        <v>212</v>
      </c>
      <c r="G10" s="91" t="str">
        <f t="shared" si="0"/>
        <v>Noviembre</v>
      </c>
      <c r="H10" s="93">
        <v>45966</v>
      </c>
      <c r="I10" s="94">
        <v>45965</v>
      </c>
      <c r="J10" s="95" t="s">
        <v>175</v>
      </c>
      <c r="K10" s="91">
        <f>IFERROR(VLOOKUP('Score BD'!$J10,Lista!A:B,2,0)," ")</f>
        <v>1063968280</v>
      </c>
      <c r="L10" s="157" t="s">
        <v>247</v>
      </c>
      <c r="M10" s="59" t="s">
        <v>4</v>
      </c>
      <c r="N10" s="59" t="s">
        <v>4</v>
      </c>
      <c r="O10" s="59" t="s">
        <v>4</v>
      </c>
      <c r="P10" s="59" t="s">
        <v>4</v>
      </c>
      <c r="Q10" s="96">
        <f t="shared" si="1"/>
        <v>1</v>
      </c>
      <c r="R10" s="59" t="s">
        <v>4</v>
      </c>
      <c r="S10" s="59" t="s">
        <v>4</v>
      </c>
      <c r="T10" s="59" t="s">
        <v>4</v>
      </c>
      <c r="U10" s="59" t="s">
        <v>4</v>
      </c>
      <c r="V10" s="97">
        <f t="shared" si="2"/>
        <v>1</v>
      </c>
      <c r="W10" s="59" t="s">
        <v>4</v>
      </c>
      <c r="X10" s="59" t="s">
        <v>4</v>
      </c>
      <c r="Y10" s="59" t="s">
        <v>4</v>
      </c>
      <c r="Z10" s="59" t="s">
        <v>4</v>
      </c>
      <c r="AA10" s="59" t="s">
        <v>4</v>
      </c>
      <c r="AB10" s="59" t="s">
        <v>4</v>
      </c>
      <c r="AC10" s="97">
        <f t="shared" si="3"/>
        <v>1.000000000000002</v>
      </c>
      <c r="AD10" s="59" t="s">
        <v>4</v>
      </c>
      <c r="AE10" s="59" t="s">
        <v>4</v>
      </c>
      <c r="AF10" s="97">
        <f t="shared" si="4"/>
        <v>1</v>
      </c>
      <c r="AG10" s="98">
        <f t="shared" si="5"/>
        <v>1.0000000000000004</v>
      </c>
      <c r="AH10" s="59">
        <f t="shared" si="6"/>
        <v>0</v>
      </c>
      <c r="AI10" s="59">
        <f>COUNTIF('Score BD'!$M10:$P10,"no")</f>
        <v>0</v>
      </c>
      <c r="AJ10" s="59">
        <f t="shared" si="7"/>
        <v>0</v>
      </c>
      <c r="AK10" s="59">
        <f t="shared" si="8"/>
        <v>0</v>
      </c>
      <c r="AL10" s="59">
        <f t="shared" si="9"/>
        <v>0</v>
      </c>
      <c r="AM10" s="59" t="s">
        <v>266</v>
      </c>
      <c r="AN10" s="106"/>
      <c r="AO10" s="106"/>
      <c r="AP10" s="106"/>
      <c r="AQ10" s="59" t="str">
        <f>IFERROR(_xlfn.XLOOKUP(Tabla1[[#This Row],[Cedula agente]],Lista!$B$2:$B$97,Lista!$G$2:$G$97)," ")</f>
        <v>Luisa Fernanda Benavides Castrillon</v>
      </c>
      <c r="AR10" s="59" t="s">
        <v>162</v>
      </c>
      <c r="AS10" s="46" t="str">
        <f>IFERROR(_xlfn.XLOOKUP(Tabla1[[#This Row],[Cedula agente]],Lista!$B$2:$B$97,Lista!$F$2:$F$97)," ")</f>
        <v>John Sebastian Roncancio Avendaño</v>
      </c>
      <c r="AT10" s="99">
        <v>0.95</v>
      </c>
      <c r="AU10" s="197">
        <f>+WEEKNUM('Score BD'!$H10)-WEEKNUM(DATE(YEAR('Score BD'!$H10),MONTH('Score BD'!$H10),1))+1</f>
        <v>2</v>
      </c>
    </row>
    <row r="11" spans="1:47" s="100" customFormat="1" ht="17.45" customHeight="1" x14ac:dyDescent="0.25">
      <c r="A11" s="163" t="str">
        <f t="shared" si="10"/>
        <v>Ministerio de Educación Nacional</v>
      </c>
      <c r="B11" s="91">
        <f>+IFERROR(COUNTIF($J$3:J11,J11)," ")</f>
        <v>1</v>
      </c>
      <c r="C11" s="91" t="str">
        <f>+'Score BD'!$J11&amp;'Score BD'!$B11</f>
        <v>Ingrid Carolina Monsalve Quintero1</v>
      </c>
      <c r="D11" s="91" t="s">
        <v>148</v>
      </c>
      <c r="E11" s="92" t="s">
        <v>164</v>
      </c>
      <c r="F11" s="92" t="s">
        <v>212</v>
      </c>
      <c r="G11" s="91" t="str">
        <f t="shared" si="0"/>
        <v>Noviembre</v>
      </c>
      <c r="H11" s="93">
        <v>45966</v>
      </c>
      <c r="I11" s="94">
        <v>45965</v>
      </c>
      <c r="J11" s="95" t="s">
        <v>176</v>
      </c>
      <c r="K11" s="91">
        <f>IFERROR(VLOOKUP('Score BD'!$J11,Lista!A:B,2,0)," ")</f>
        <v>52805909</v>
      </c>
      <c r="L11" s="226" t="s">
        <v>248</v>
      </c>
      <c r="M11" s="59" t="s">
        <v>4</v>
      </c>
      <c r="N11" s="59" t="s">
        <v>4</v>
      </c>
      <c r="O11" s="59" t="s">
        <v>4</v>
      </c>
      <c r="P11" s="59" t="s">
        <v>4</v>
      </c>
      <c r="Q11" s="96">
        <f t="shared" si="1"/>
        <v>1</v>
      </c>
      <c r="R11" s="59" t="s">
        <v>4</v>
      </c>
      <c r="S11" s="59" t="s">
        <v>4</v>
      </c>
      <c r="T11" s="59" t="s">
        <v>4</v>
      </c>
      <c r="U11" s="59" t="s">
        <v>4</v>
      </c>
      <c r="V11" s="97">
        <f t="shared" si="2"/>
        <v>1</v>
      </c>
      <c r="W11" s="59" t="s">
        <v>4</v>
      </c>
      <c r="X11" s="59" t="s">
        <v>4</v>
      </c>
      <c r="Y11" s="59" t="s">
        <v>4</v>
      </c>
      <c r="Z11" s="59" t="s">
        <v>4</v>
      </c>
      <c r="AA11" s="59" t="s">
        <v>4</v>
      </c>
      <c r="AB11" s="59" t="s">
        <v>4</v>
      </c>
      <c r="AC11" s="97">
        <f t="shared" si="3"/>
        <v>1.000000000000002</v>
      </c>
      <c r="AD11" s="59" t="s">
        <v>4</v>
      </c>
      <c r="AE11" s="59" t="s">
        <v>4</v>
      </c>
      <c r="AF11" s="97">
        <f t="shared" si="4"/>
        <v>1</v>
      </c>
      <c r="AG11" s="98">
        <f t="shared" si="5"/>
        <v>1.0000000000000004</v>
      </c>
      <c r="AH11" s="59">
        <f t="shared" si="6"/>
        <v>0</v>
      </c>
      <c r="AI11" s="59">
        <f>COUNTIF('Score BD'!$M11:$P11,"no")</f>
        <v>0</v>
      </c>
      <c r="AJ11" s="59">
        <f t="shared" si="7"/>
        <v>0</v>
      </c>
      <c r="AK11" s="59">
        <f t="shared" si="8"/>
        <v>0</v>
      </c>
      <c r="AL11" s="59">
        <f t="shared" si="9"/>
        <v>0</v>
      </c>
      <c r="AM11" s="59" t="s">
        <v>266</v>
      </c>
      <c r="AN11" s="106"/>
      <c r="AO11" s="106"/>
      <c r="AP11" s="106"/>
      <c r="AQ11" s="59" t="str">
        <f>IFERROR(_xlfn.XLOOKUP(Tabla1[[#This Row],[Cedula agente]],Lista!$B$2:$B$97,Lista!$G$2:$G$97)," ")</f>
        <v>Luisa Fernanda Benavides Castrillon</v>
      </c>
      <c r="AR11" s="59" t="s">
        <v>162</v>
      </c>
      <c r="AS11" s="46" t="str">
        <f>IFERROR(_xlfn.XLOOKUP(Tabla1[[#This Row],[Cedula agente]],Lista!$B$2:$B$97,Lista!$F$2:$F$97)," ")</f>
        <v>John Sebastian Roncancio Avendaño</v>
      </c>
      <c r="AT11" s="99">
        <v>0.95</v>
      </c>
      <c r="AU11" s="197">
        <f>+WEEKNUM('Score BD'!$H11)-WEEKNUM(DATE(YEAR('Score BD'!$H11),MONTH('Score BD'!$H11),1))+1</f>
        <v>2</v>
      </c>
    </row>
    <row r="12" spans="1:47" s="100" customFormat="1" ht="17.45" customHeight="1" x14ac:dyDescent="0.25">
      <c r="A12" s="163" t="str">
        <f t="shared" si="10"/>
        <v>Ministerio de Educación Nacional</v>
      </c>
      <c r="B12" s="91">
        <f>+IFERROR(COUNTIF($J$3:J12,J12)," ")</f>
        <v>2</v>
      </c>
      <c r="C12" s="91" t="str">
        <f>+'Score BD'!$J12&amp;'Score BD'!$B12</f>
        <v>Ingrid Carolina Monsalve Quintero2</v>
      </c>
      <c r="D12" s="91" t="s">
        <v>148</v>
      </c>
      <c r="E12" s="92" t="s">
        <v>164</v>
      </c>
      <c r="F12" s="92" t="s">
        <v>212</v>
      </c>
      <c r="G12" s="91" t="str">
        <f t="shared" si="0"/>
        <v>Noviembre</v>
      </c>
      <c r="H12" s="93">
        <v>45966</v>
      </c>
      <c r="I12" s="94">
        <v>45965</v>
      </c>
      <c r="J12" s="95" t="s">
        <v>176</v>
      </c>
      <c r="K12" s="91">
        <f>IFERROR(VLOOKUP('Score BD'!$J12,Lista!A:B,2,0)," ")</f>
        <v>52805909</v>
      </c>
      <c r="L12" s="157" t="s">
        <v>249</v>
      </c>
      <c r="M12" s="59" t="s">
        <v>4</v>
      </c>
      <c r="N12" s="59" t="s">
        <v>4</v>
      </c>
      <c r="O12" s="59" t="s">
        <v>4</v>
      </c>
      <c r="P12" s="59" t="s">
        <v>4</v>
      </c>
      <c r="Q12" s="96">
        <f t="shared" si="1"/>
        <v>1</v>
      </c>
      <c r="R12" s="59" t="s">
        <v>4</v>
      </c>
      <c r="S12" s="59" t="s">
        <v>4</v>
      </c>
      <c r="T12" s="59" t="s">
        <v>4</v>
      </c>
      <c r="U12" s="59" t="s">
        <v>4</v>
      </c>
      <c r="V12" s="97">
        <f t="shared" si="2"/>
        <v>1</v>
      </c>
      <c r="W12" s="59" t="s">
        <v>4</v>
      </c>
      <c r="X12" s="59" t="s">
        <v>4</v>
      </c>
      <c r="Y12" s="59" t="s">
        <v>4</v>
      </c>
      <c r="Z12" s="59" t="s">
        <v>4</v>
      </c>
      <c r="AA12" s="59" t="s">
        <v>4</v>
      </c>
      <c r="AB12" s="59" t="s">
        <v>4</v>
      </c>
      <c r="AC12" s="97">
        <f t="shared" si="3"/>
        <v>1.000000000000002</v>
      </c>
      <c r="AD12" s="59" t="s">
        <v>4</v>
      </c>
      <c r="AE12" s="59" t="s">
        <v>4</v>
      </c>
      <c r="AF12" s="97">
        <f t="shared" si="4"/>
        <v>1</v>
      </c>
      <c r="AG12" s="98">
        <f t="shared" si="5"/>
        <v>1.0000000000000004</v>
      </c>
      <c r="AH12" s="59">
        <f t="shared" si="6"/>
        <v>0</v>
      </c>
      <c r="AI12" s="59">
        <f>COUNTIF('Score BD'!$M12:$P12,"no")</f>
        <v>0</v>
      </c>
      <c r="AJ12" s="59">
        <f t="shared" si="7"/>
        <v>0</v>
      </c>
      <c r="AK12" s="59">
        <f t="shared" si="8"/>
        <v>0</v>
      </c>
      <c r="AL12" s="104">
        <f t="shared" si="9"/>
        <v>0</v>
      </c>
      <c r="AM12" s="59" t="s">
        <v>266</v>
      </c>
      <c r="AN12" s="106"/>
      <c r="AO12" s="106"/>
      <c r="AP12" s="106"/>
      <c r="AQ12" s="59" t="str">
        <f>IFERROR(_xlfn.XLOOKUP(Tabla1[[#This Row],[Cedula agente]],Lista!$B$2:$B$97,Lista!$G$2:$G$97)," ")</f>
        <v>Luisa Fernanda Benavides Castrillon</v>
      </c>
      <c r="AR12" s="59" t="s">
        <v>162</v>
      </c>
      <c r="AS12" s="46" t="str">
        <f>IFERROR(_xlfn.XLOOKUP(Tabla1[[#This Row],[Cedula agente]],Lista!$B$2:$B$97,Lista!$F$2:$F$97)," ")</f>
        <v>John Sebastian Roncancio Avendaño</v>
      </c>
      <c r="AT12" s="99">
        <v>0.95</v>
      </c>
      <c r="AU12" s="197">
        <f>+WEEKNUM('Score BD'!$H12)-WEEKNUM(DATE(YEAR('Score BD'!$H12),MONTH('Score BD'!$H12),1))+1</f>
        <v>2</v>
      </c>
    </row>
    <row r="13" spans="1:47" s="100" customFormat="1" ht="17.45" customHeight="1" x14ac:dyDescent="0.25">
      <c r="A13" s="163" t="str">
        <f t="shared" si="10"/>
        <v>Ministerio de Educación Nacional</v>
      </c>
      <c r="B13" s="91">
        <f>+IFERROR(COUNTIF($J$3:J13,J13)," ")</f>
        <v>1</v>
      </c>
      <c r="C13" s="91" t="str">
        <f>+'Score BD'!$J13&amp;'Score BD'!$B13</f>
        <v>Jesus David Hernandez Fernandez de Castro1</v>
      </c>
      <c r="D13" s="91" t="s">
        <v>148</v>
      </c>
      <c r="E13" s="92" t="s">
        <v>208</v>
      </c>
      <c r="F13" s="92" t="s">
        <v>105</v>
      </c>
      <c r="G13" s="91" t="str">
        <f t="shared" si="0"/>
        <v>Noviembre</v>
      </c>
      <c r="H13" s="93">
        <v>45966</v>
      </c>
      <c r="I13" s="94">
        <v>45965</v>
      </c>
      <c r="J13" s="95" t="s">
        <v>177</v>
      </c>
      <c r="K13" s="91">
        <f>IFERROR(VLOOKUP('Score BD'!$J13,Lista!A:B,2,0)," ")</f>
        <v>1083038013</v>
      </c>
      <c r="L13" s="157" t="s">
        <v>250</v>
      </c>
      <c r="M13" s="59" t="s">
        <v>4</v>
      </c>
      <c r="N13" s="59" t="s">
        <v>4</v>
      </c>
      <c r="O13" s="59" t="s">
        <v>4</v>
      </c>
      <c r="P13" s="59" t="s">
        <v>4</v>
      </c>
      <c r="Q13" s="96">
        <f t="shared" si="1"/>
        <v>1</v>
      </c>
      <c r="R13" s="59" t="s">
        <v>4</v>
      </c>
      <c r="S13" s="59" t="s">
        <v>4</v>
      </c>
      <c r="T13" s="59" t="s">
        <v>4</v>
      </c>
      <c r="U13" s="59" t="s">
        <v>4</v>
      </c>
      <c r="V13" s="97">
        <f t="shared" si="2"/>
        <v>1</v>
      </c>
      <c r="W13" s="59" t="s">
        <v>4</v>
      </c>
      <c r="X13" s="59" t="s">
        <v>4</v>
      </c>
      <c r="Y13" s="59" t="s">
        <v>4</v>
      </c>
      <c r="Z13" s="59" t="s">
        <v>4</v>
      </c>
      <c r="AA13" s="59" t="s">
        <v>4</v>
      </c>
      <c r="AB13" s="59" t="s">
        <v>4</v>
      </c>
      <c r="AC13" s="97">
        <f t="shared" si="3"/>
        <v>1.000000000000002</v>
      </c>
      <c r="AD13" s="59" t="s">
        <v>4</v>
      </c>
      <c r="AE13" s="59" t="s">
        <v>4</v>
      </c>
      <c r="AF13" s="97">
        <f t="shared" si="4"/>
        <v>1</v>
      </c>
      <c r="AG13" s="98">
        <f t="shared" si="5"/>
        <v>1.0000000000000004</v>
      </c>
      <c r="AH13" s="59">
        <f t="shared" si="6"/>
        <v>0</v>
      </c>
      <c r="AI13" s="59">
        <f>COUNTIF('Score BD'!$M13:$P13,"no")</f>
        <v>0</v>
      </c>
      <c r="AJ13" s="59">
        <f t="shared" si="7"/>
        <v>0</v>
      </c>
      <c r="AK13" s="59">
        <f t="shared" si="8"/>
        <v>0</v>
      </c>
      <c r="AL13" s="104">
        <f t="shared" si="9"/>
        <v>0</v>
      </c>
      <c r="AM13" s="59" t="s">
        <v>266</v>
      </c>
      <c r="AN13" s="106"/>
      <c r="AO13" s="106"/>
      <c r="AP13" s="106"/>
      <c r="AQ13" s="59" t="str">
        <f>IFERROR(_xlfn.XLOOKUP(Tabla1[[#This Row],[Cedula agente]],Lista!$B$2:$B$97,Lista!$G$2:$G$97)," ")</f>
        <v>Luisa Fernanda Benavides Castrillon</v>
      </c>
      <c r="AR13" s="59" t="s">
        <v>162</v>
      </c>
      <c r="AS13" s="46" t="str">
        <f>IFERROR(_xlfn.XLOOKUP(Tabla1[[#This Row],[Cedula agente]],Lista!$B$2:$B$97,Lista!$F$2:$F$97)," ")</f>
        <v>John Sebastian Roncancio Avendaño</v>
      </c>
      <c r="AT13" s="99">
        <v>0.95</v>
      </c>
      <c r="AU13" s="197">
        <f>+WEEKNUM('Score BD'!$H13)-WEEKNUM(DATE(YEAR('Score BD'!$H13),MONTH('Score BD'!$H13),1))+1</f>
        <v>2</v>
      </c>
    </row>
    <row r="14" spans="1:47" s="51" customFormat="1" ht="17.45" customHeight="1" x14ac:dyDescent="0.3">
      <c r="A14" s="163" t="str">
        <f t="shared" si="10"/>
        <v>Ministerio de Educación Nacional</v>
      </c>
      <c r="B14" s="91">
        <f>+IFERROR(COUNTIF($J$3:J14,J14)," ")</f>
        <v>1</v>
      </c>
      <c r="C14" s="91" t="str">
        <f>+'Score BD'!$J14&amp;'Score BD'!$B14</f>
        <v>Juan Jose Santoya Medina1</v>
      </c>
      <c r="D14" s="91" t="s">
        <v>148</v>
      </c>
      <c r="E14" s="92" t="s">
        <v>165</v>
      </c>
      <c r="F14" s="92" t="s">
        <v>212</v>
      </c>
      <c r="G14" s="91" t="str">
        <f t="shared" si="0"/>
        <v>Noviembre</v>
      </c>
      <c r="H14" s="93">
        <v>45966</v>
      </c>
      <c r="I14" s="94">
        <v>45965</v>
      </c>
      <c r="J14" s="95" t="s">
        <v>178</v>
      </c>
      <c r="K14" s="101">
        <f>IFERROR(VLOOKUP('Score BD'!$J14,Lista!A:B,2,0)," ")</f>
        <v>1053345183</v>
      </c>
      <c r="L14" s="157" t="s">
        <v>251</v>
      </c>
      <c r="M14" s="59" t="s">
        <v>4</v>
      </c>
      <c r="N14" s="59" t="s">
        <v>4</v>
      </c>
      <c r="O14" s="59" t="s">
        <v>4</v>
      </c>
      <c r="P14" s="59" t="s">
        <v>4</v>
      </c>
      <c r="Q14" s="96">
        <f t="shared" si="1"/>
        <v>1</v>
      </c>
      <c r="R14" s="59" t="s">
        <v>4</v>
      </c>
      <c r="S14" s="59" t="s">
        <v>4</v>
      </c>
      <c r="T14" s="59" t="s">
        <v>4</v>
      </c>
      <c r="U14" s="59" t="s">
        <v>4</v>
      </c>
      <c r="V14" s="97">
        <f t="shared" si="2"/>
        <v>1</v>
      </c>
      <c r="W14" s="59" t="s">
        <v>4</v>
      </c>
      <c r="X14" s="59" t="s">
        <v>4</v>
      </c>
      <c r="Y14" s="59" t="s">
        <v>4</v>
      </c>
      <c r="Z14" s="59" t="s">
        <v>4</v>
      </c>
      <c r="AA14" s="59" t="s">
        <v>4</v>
      </c>
      <c r="AB14" s="59" t="s">
        <v>4</v>
      </c>
      <c r="AC14" s="97">
        <f t="shared" si="3"/>
        <v>1.000000000000002</v>
      </c>
      <c r="AD14" s="59" t="s">
        <v>4</v>
      </c>
      <c r="AE14" s="59" t="s">
        <v>4</v>
      </c>
      <c r="AF14" s="97">
        <f t="shared" si="4"/>
        <v>1</v>
      </c>
      <c r="AG14" s="44">
        <f t="shared" si="5"/>
        <v>1.0000000000000004</v>
      </c>
      <c r="AH14" s="46">
        <f t="shared" si="6"/>
        <v>0</v>
      </c>
      <c r="AI14" s="46">
        <f>COUNTIF('Score BD'!$M14:$P14,"no")</f>
        <v>0</v>
      </c>
      <c r="AJ14" s="46">
        <f t="shared" si="7"/>
        <v>0</v>
      </c>
      <c r="AK14" s="46">
        <f t="shared" si="8"/>
        <v>0</v>
      </c>
      <c r="AL14" s="46">
        <f t="shared" si="9"/>
        <v>0</v>
      </c>
      <c r="AM14" s="59" t="s">
        <v>266</v>
      </c>
      <c r="AN14" s="106"/>
      <c r="AO14" s="106"/>
      <c r="AP14" s="106"/>
      <c r="AQ14" s="59" t="str">
        <f>IFERROR(_xlfn.XLOOKUP(Tabla1[[#This Row],[Cedula agente]],Lista!$B$2:$B$97,Lista!$G$2:$G$97)," ")</f>
        <v>Luisa Fernanda Benavides Castrillon</v>
      </c>
      <c r="AR14" s="59" t="s">
        <v>162</v>
      </c>
      <c r="AS14" s="46" t="str">
        <f>IFERROR(_xlfn.XLOOKUP(Tabla1[[#This Row],[Cedula agente]],Lista!$B$2:$B$97,Lista!$F$2:$F$97)," ")</f>
        <v>John Sebastian Roncancio Avendaño</v>
      </c>
      <c r="AT14" s="99">
        <v>0.95</v>
      </c>
      <c r="AU14" s="198">
        <f>+WEEKNUM('Score BD'!$H14)-WEEKNUM(DATE(YEAR('Score BD'!$H14),MONTH('Score BD'!$H14),1))+1</f>
        <v>2</v>
      </c>
    </row>
    <row r="15" spans="1:47" s="51" customFormat="1" ht="17.45" customHeight="1" x14ac:dyDescent="0.3">
      <c r="A15" s="163" t="str">
        <f t="shared" si="10"/>
        <v>Ministerio de Educación Nacional</v>
      </c>
      <c r="B15" s="91">
        <f>+IFERROR(COUNTIF($J$3:J15,J15)," ")</f>
        <v>2</v>
      </c>
      <c r="C15" s="91" t="str">
        <f>+'Score BD'!$J15&amp;'Score BD'!$B15</f>
        <v>Juan Jose Santoya Medina2</v>
      </c>
      <c r="D15" s="91" t="s">
        <v>148</v>
      </c>
      <c r="E15" s="92" t="s">
        <v>165</v>
      </c>
      <c r="F15" s="92" t="s">
        <v>212</v>
      </c>
      <c r="G15" s="91" t="str">
        <f t="shared" si="0"/>
        <v>Noviembre</v>
      </c>
      <c r="H15" s="93">
        <v>45966</v>
      </c>
      <c r="I15" s="94">
        <v>45965</v>
      </c>
      <c r="J15" s="95" t="s">
        <v>178</v>
      </c>
      <c r="K15" s="101">
        <f>IFERROR(VLOOKUP('Score BD'!$J15,Lista!A:B,2,0)," ")</f>
        <v>1053345183</v>
      </c>
      <c r="L15" s="157" t="s">
        <v>252</v>
      </c>
      <c r="M15" s="59" t="s">
        <v>4</v>
      </c>
      <c r="N15" s="59" t="s">
        <v>4</v>
      </c>
      <c r="O15" s="59" t="s">
        <v>4</v>
      </c>
      <c r="P15" s="59" t="s">
        <v>4</v>
      </c>
      <c r="Q15" s="96">
        <f t="shared" si="1"/>
        <v>1</v>
      </c>
      <c r="R15" s="59" t="s">
        <v>4</v>
      </c>
      <c r="S15" s="59" t="s">
        <v>4</v>
      </c>
      <c r="T15" s="59" t="s">
        <v>4</v>
      </c>
      <c r="U15" s="59" t="s">
        <v>4</v>
      </c>
      <c r="V15" s="97">
        <f t="shared" si="2"/>
        <v>1</v>
      </c>
      <c r="W15" s="59" t="s">
        <v>4</v>
      </c>
      <c r="X15" s="59" t="s">
        <v>4</v>
      </c>
      <c r="Y15" s="59" t="s">
        <v>4</v>
      </c>
      <c r="Z15" s="59" t="s">
        <v>4</v>
      </c>
      <c r="AA15" s="59" t="s">
        <v>4</v>
      </c>
      <c r="AB15" s="59" t="s">
        <v>4</v>
      </c>
      <c r="AC15" s="97">
        <f t="shared" si="3"/>
        <v>1.000000000000002</v>
      </c>
      <c r="AD15" s="59" t="s">
        <v>4</v>
      </c>
      <c r="AE15" s="59" t="s">
        <v>4</v>
      </c>
      <c r="AF15" s="97">
        <f t="shared" si="4"/>
        <v>1</v>
      </c>
      <c r="AG15" s="44">
        <f t="shared" si="5"/>
        <v>1.0000000000000004</v>
      </c>
      <c r="AH15" s="46">
        <f t="shared" si="6"/>
        <v>0</v>
      </c>
      <c r="AI15" s="46">
        <f>COUNTIF('Score BD'!$M15:$P15,"no")</f>
        <v>0</v>
      </c>
      <c r="AJ15" s="46">
        <f t="shared" si="7"/>
        <v>0</v>
      </c>
      <c r="AK15" s="46">
        <f t="shared" si="8"/>
        <v>0</v>
      </c>
      <c r="AL15" s="46">
        <f t="shared" si="9"/>
        <v>0</v>
      </c>
      <c r="AM15" s="59" t="s">
        <v>266</v>
      </c>
      <c r="AN15" s="106"/>
      <c r="AO15" s="106"/>
      <c r="AP15" s="106"/>
      <c r="AQ15" s="59" t="str">
        <f>IFERROR(_xlfn.XLOOKUP(Tabla1[[#This Row],[Cedula agente]],Lista!$B$2:$B$97,Lista!$G$2:$G$97)," ")</f>
        <v>Luisa Fernanda Benavides Castrillon</v>
      </c>
      <c r="AR15" s="59" t="s">
        <v>162</v>
      </c>
      <c r="AS15" s="46" t="str">
        <f>IFERROR(_xlfn.XLOOKUP(Tabla1[[#This Row],[Cedula agente]],Lista!$B$2:$B$97,Lista!$F$2:$F$97)," ")</f>
        <v>John Sebastian Roncancio Avendaño</v>
      </c>
      <c r="AT15" s="99">
        <v>0.95</v>
      </c>
      <c r="AU15" s="198">
        <f>+WEEKNUM('Score BD'!$H15)-WEEKNUM(DATE(YEAR('Score BD'!$H15),MONTH('Score BD'!$H15),1))+1</f>
        <v>2</v>
      </c>
    </row>
    <row r="16" spans="1:47" s="51" customFormat="1" ht="17.45" customHeight="1" x14ac:dyDescent="0.3">
      <c r="A16" s="163" t="str">
        <f t="shared" si="10"/>
        <v>Ministerio de Educación Nacional</v>
      </c>
      <c r="B16" s="91">
        <f>+IFERROR(COUNTIF($J$3:J16,J16)," ")</f>
        <v>1</v>
      </c>
      <c r="C16" s="91" t="str">
        <f>+'Score BD'!$J16&amp;'Score BD'!$B16</f>
        <v>Juan Sebastián Suárez Morales1</v>
      </c>
      <c r="D16" s="91" t="s">
        <v>148</v>
      </c>
      <c r="E16" s="92" t="s">
        <v>165</v>
      </c>
      <c r="F16" s="92" t="s">
        <v>212</v>
      </c>
      <c r="G16" s="91" t="str">
        <f t="shared" si="0"/>
        <v>Noviembre</v>
      </c>
      <c r="H16" s="93">
        <v>45966</v>
      </c>
      <c r="I16" s="94">
        <v>45965</v>
      </c>
      <c r="J16" s="95" t="s">
        <v>179</v>
      </c>
      <c r="K16" s="101">
        <f>IFERROR(VLOOKUP('Score BD'!$J16,Lista!A:B,2,0)," ")</f>
        <v>1030541070</v>
      </c>
      <c r="L16" s="157" t="s">
        <v>253</v>
      </c>
      <c r="M16" s="59" t="s">
        <v>4</v>
      </c>
      <c r="N16" s="59" t="s">
        <v>4</v>
      </c>
      <c r="O16" s="59" t="s">
        <v>4</v>
      </c>
      <c r="P16" s="59" t="s">
        <v>4</v>
      </c>
      <c r="Q16" s="96">
        <f t="shared" si="1"/>
        <v>1</v>
      </c>
      <c r="R16" s="59" t="s">
        <v>4</v>
      </c>
      <c r="S16" s="59" t="s">
        <v>4</v>
      </c>
      <c r="T16" s="59" t="s">
        <v>4</v>
      </c>
      <c r="U16" s="59" t="s">
        <v>4</v>
      </c>
      <c r="V16" s="97">
        <f t="shared" si="2"/>
        <v>1</v>
      </c>
      <c r="W16" s="59" t="s">
        <v>4</v>
      </c>
      <c r="X16" s="59" t="s">
        <v>4</v>
      </c>
      <c r="Y16" s="59" t="s">
        <v>4</v>
      </c>
      <c r="Z16" s="59" t="s">
        <v>4</v>
      </c>
      <c r="AA16" s="59" t="s">
        <v>4</v>
      </c>
      <c r="AB16" s="59" t="s">
        <v>4</v>
      </c>
      <c r="AC16" s="97">
        <f t="shared" si="3"/>
        <v>1.000000000000002</v>
      </c>
      <c r="AD16" s="59" t="s">
        <v>4</v>
      </c>
      <c r="AE16" s="59" t="s">
        <v>4</v>
      </c>
      <c r="AF16" s="97">
        <f t="shared" si="4"/>
        <v>1</v>
      </c>
      <c r="AG16" s="44">
        <f t="shared" si="5"/>
        <v>1.0000000000000004</v>
      </c>
      <c r="AH16" s="46">
        <f t="shared" si="6"/>
        <v>0</v>
      </c>
      <c r="AI16" s="46">
        <f>COUNTIF('Score BD'!$M16:$P16,"no")</f>
        <v>0</v>
      </c>
      <c r="AJ16" s="46">
        <f t="shared" si="7"/>
        <v>0</v>
      </c>
      <c r="AK16" s="46">
        <f t="shared" si="8"/>
        <v>0</v>
      </c>
      <c r="AL16" s="46">
        <f t="shared" si="9"/>
        <v>0</v>
      </c>
      <c r="AM16" s="59" t="s">
        <v>266</v>
      </c>
      <c r="AN16" s="106"/>
      <c r="AO16" s="106"/>
      <c r="AP16" s="106"/>
      <c r="AQ16" s="59" t="str">
        <f>IFERROR(_xlfn.XLOOKUP(Tabla1[[#This Row],[Cedula agente]],Lista!$B$2:$B$97,Lista!$G$2:$G$97)," ")</f>
        <v>Luisa Fernanda Benavides Castrillon</v>
      </c>
      <c r="AR16" s="59" t="s">
        <v>162</v>
      </c>
      <c r="AS16" s="46" t="str">
        <f>IFERROR(_xlfn.XLOOKUP(Tabla1[[#This Row],[Cedula agente]],Lista!$B$2:$B$97,Lista!$F$2:$F$97)," ")</f>
        <v>John Sebastian Roncancio Avendaño</v>
      </c>
      <c r="AT16" s="99">
        <v>0.95</v>
      </c>
      <c r="AU16" s="198">
        <f>+WEEKNUM('Score BD'!$H16)-WEEKNUM(DATE(YEAR('Score BD'!$H16),MONTH('Score BD'!$H16),1))+1</f>
        <v>2</v>
      </c>
    </row>
    <row r="17" spans="1:47" s="51" customFormat="1" ht="17.45" customHeight="1" x14ac:dyDescent="0.3">
      <c r="A17" s="163" t="str">
        <f t="shared" si="10"/>
        <v>Ministerio de Educación Nacional</v>
      </c>
      <c r="B17" s="91">
        <f>+IFERROR(COUNTIF($J$3:J17,J17)," ")</f>
        <v>1</v>
      </c>
      <c r="C17" s="91" t="str">
        <f>+'Score BD'!$J17&amp;'Score BD'!$B17</f>
        <v>Laura Juliana Rueda Durán1</v>
      </c>
      <c r="D17" s="91" t="s">
        <v>148</v>
      </c>
      <c r="E17" s="92" t="s">
        <v>165</v>
      </c>
      <c r="F17" s="92" t="s">
        <v>212</v>
      </c>
      <c r="G17" s="91" t="str">
        <f t="shared" si="0"/>
        <v>Noviembre</v>
      </c>
      <c r="H17" s="93">
        <v>45966</v>
      </c>
      <c r="I17" s="93">
        <v>45965</v>
      </c>
      <c r="J17" s="95" t="s">
        <v>180</v>
      </c>
      <c r="K17" s="101">
        <f>IFERROR(VLOOKUP('Score BD'!$J17,Lista!A:B,2,0)," ")</f>
        <v>1026291591</v>
      </c>
      <c r="L17" s="157" t="s">
        <v>265</v>
      </c>
      <c r="M17" s="59" t="s">
        <v>4</v>
      </c>
      <c r="N17" s="59" t="s">
        <v>4</v>
      </c>
      <c r="O17" s="59" t="s">
        <v>4</v>
      </c>
      <c r="P17" s="59" t="s">
        <v>4</v>
      </c>
      <c r="Q17" s="96">
        <f t="shared" si="1"/>
        <v>1</v>
      </c>
      <c r="R17" s="59" t="s">
        <v>4</v>
      </c>
      <c r="S17" s="59" t="s">
        <v>4</v>
      </c>
      <c r="T17" s="59" t="s">
        <v>4</v>
      </c>
      <c r="U17" s="59" t="s">
        <v>4</v>
      </c>
      <c r="V17" s="97">
        <f t="shared" si="2"/>
        <v>1</v>
      </c>
      <c r="W17" s="59" t="s">
        <v>4</v>
      </c>
      <c r="X17" s="59" t="s">
        <v>4</v>
      </c>
      <c r="Y17" s="59" t="s">
        <v>4</v>
      </c>
      <c r="Z17" s="59" t="s">
        <v>4</v>
      </c>
      <c r="AA17" s="59" t="s">
        <v>4</v>
      </c>
      <c r="AB17" s="59" t="s">
        <v>4</v>
      </c>
      <c r="AC17" s="97">
        <f t="shared" si="3"/>
        <v>1.000000000000002</v>
      </c>
      <c r="AD17" s="59" t="s">
        <v>4</v>
      </c>
      <c r="AE17" s="59" t="s">
        <v>4</v>
      </c>
      <c r="AF17" s="97">
        <f t="shared" si="4"/>
        <v>1</v>
      </c>
      <c r="AG17" s="44">
        <f t="shared" si="5"/>
        <v>1.0000000000000004</v>
      </c>
      <c r="AH17" s="46">
        <f t="shared" si="6"/>
        <v>0</v>
      </c>
      <c r="AI17" s="46">
        <f>COUNTIF('Score BD'!$M17:$P17,"no")</f>
        <v>0</v>
      </c>
      <c r="AJ17" s="46">
        <f t="shared" si="7"/>
        <v>0</v>
      </c>
      <c r="AK17" s="46">
        <f t="shared" si="8"/>
        <v>0</v>
      </c>
      <c r="AL17" s="46">
        <f t="shared" si="9"/>
        <v>0</v>
      </c>
      <c r="AM17" s="59" t="s">
        <v>266</v>
      </c>
      <c r="AN17" s="59"/>
      <c r="AO17" s="59"/>
      <c r="AP17" s="106"/>
      <c r="AQ17" s="59" t="str">
        <f>IFERROR(_xlfn.XLOOKUP(Tabla1[[#This Row],[Cedula agente]],Lista!$B$2:$B$97,Lista!$G$2:$G$97)," ")</f>
        <v>Luisa Fernanda Benavides Castrillon</v>
      </c>
      <c r="AR17" s="59" t="s">
        <v>162</v>
      </c>
      <c r="AS17" s="46" t="str">
        <f>IFERROR(_xlfn.XLOOKUP(Tabla1[[#This Row],[Cedula agente]],Lista!$B$2:$B$97,Lista!$F$2:$F$97)," ")</f>
        <v>John Sebastian Roncancio Avendaño</v>
      </c>
      <c r="AT17" s="99">
        <v>0.95</v>
      </c>
      <c r="AU17" s="198">
        <f>+WEEKNUM('Score BD'!$H17)-WEEKNUM(DATE(YEAR('Score BD'!$H17),MONTH('Score BD'!$H17),1))+1</f>
        <v>2</v>
      </c>
    </row>
    <row r="18" spans="1:47" s="51" customFormat="1" ht="17.45" customHeight="1" x14ac:dyDescent="0.3">
      <c r="A18" s="163" t="str">
        <f t="shared" si="10"/>
        <v>Ministerio de Educación Nacional</v>
      </c>
      <c r="B18" s="91">
        <f>+IFERROR(COUNTIF($J$3:J18,J18)," ")</f>
        <v>1</v>
      </c>
      <c r="C18" s="91" t="str">
        <f>+'Score BD'!$J18&amp;'Score BD'!$B18</f>
        <v>Laura Ximena Sandoval Galindo1</v>
      </c>
      <c r="D18" s="91" t="s">
        <v>148</v>
      </c>
      <c r="E18" s="92" t="s">
        <v>208</v>
      </c>
      <c r="F18" s="92" t="s">
        <v>212</v>
      </c>
      <c r="G18" s="91" t="str">
        <f t="shared" si="0"/>
        <v>Noviembre</v>
      </c>
      <c r="H18" s="93">
        <v>45966</v>
      </c>
      <c r="I18" s="93">
        <v>45965</v>
      </c>
      <c r="J18" s="95" t="s">
        <v>201</v>
      </c>
      <c r="K18" s="101">
        <f>IFERROR(VLOOKUP('Score BD'!$J18,Lista!A:B,2,0)," ")</f>
        <v>1030678660</v>
      </c>
      <c r="L18" s="227" t="s">
        <v>254</v>
      </c>
      <c r="M18" s="59" t="s">
        <v>4</v>
      </c>
      <c r="N18" s="59" t="s">
        <v>4</v>
      </c>
      <c r="O18" s="59" t="s">
        <v>4</v>
      </c>
      <c r="P18" s="59" t="s">
        <v>4</v>
      </c>
      <c r="Q18" s="96">
        <f t="shared" si="1"/>
        <v>1</v>
      </c>
      <c r="R18" s="59" t="s">
        <v>4</v>
      </c>
      <c r="S18" s="59" t="s">
        <v>4</v>
      </c>
      <c r="T18" s="59" t="s">
        <v>4</v>
      </c>
      <c r="U18" s="59" t="s">
        <v>4</v>
      </c>
      <c r="V18" s="97">
        <f t="shared" si="2"/>
        <v>1</v>
      </c>
      <c r="W18" s="59" t="s">
        <v>4</v>
      </c>
      <c r="X18" s="59" t="s">
        <v>4</v>
      </c>
      <c r="Y18" s="59" t="s">
        <v>4</v>
      </c>
      <c r="Z18" s="59" t="s">
        <v>4</v>
      </c>
      <c r="AA18" s="59" t="s">
        <v>4</v>
      </c>
      <c r="AB18" s="59" t="s">
        <v>4</v>
      </c>
      <c r="AC18" s="97">
        <f t="shared" si="3"/>
        <v>1.000000000000002</v>
      </c>
      <c r="AD18" s="59" t="s">
        <v>4</v>
      </c>
      <c r="AE18" s="59" t="s">
        <v>4</v>
      </c>
      <c r="AF18" s="97">
        <f t="shared" si="4"/>
        <v>1</v>
      </c>
      <c r="AG18" s="44">
        <f t="shared" si="5"/>
        <v>1.0000000000000004</v>
      </c>
      <c r="AH18" s="46">
        <f t="shared" si="6"/>
        <v>0</v>
      </c>
      <c r="AI18" s="46">
        <f>COUNTIF('Score BD'!$M18:$P18,"no")</f>
        <v>0</v>
      </c>
      <c r="AJ18" s="46">
        <f t="shared" si="7"/>
        <v>0</v>
      </c>
      <c r="AK18" s="46">
        <f t="shared" si="8"/>
        <v>0</v>
      </c>
      <c r="AL18" s="46">
        <f t="shared" si="9"/>
        <v>0</v>
      </c>
      <c r="AM18" s="59" t="s">
        <v>266</v>
      </c>
      <c r="AN18" s="59"/>
      <c r="AO18" s="59"/>
      <c r="AP18" s="106"/>
      <c r="AQ18" s="59" t="str">
        <f>IFERROR(_xlfn.XLOOKUP(Tabla1[[#This Row],[Cedula agente]],Lista!$B$2:$B$97,Lista!$G$2:$G$97)," ")</f>
        <v>Luisa Fernanda Benavides Castrillon</v>
      </c>
      <c r="AR18" s="59" t="s">
        <v>162</v>
      </c>
      <c r="AS18" s="46" t="str">
        <f>IFERROR(_xlfn.XLOOKUP(Tabla1[[#This Row],[Cedula agente]],Lista!$B$2:$B$97,Lista!$F$2:$F$97)," ")</f>
        <v>John Sebastian Roncancio Avendaño</v>
      </c>
      <c r="AT18" s="99">
        <v>0.95</v>
      </c>
      <c r="AU18" s="198">
        <f>+WEEKNUM('Score BD'!$H18)-WEEKNUM(DATE(YEAR('Score BD'!$H18),MONTH('Score BD'!$H18),1))+1</f>
        <v>2</v>
      </c>
    </row>
    <row r="19" spans="1:47" s="51" customFormat="1" ht="17.45" customHeight="1" x14ac:dyDescent="0.3">
      <c r="A19" s="163" t="str">
        <f t="shared" si="10"/>
        <v>Ministerio de Educación Nacional</v>
      </c>
      <c r="B19" s="91">
        <f>+IFERROR(COUNTIF($J$3:J19,J19)," ")</f>
        <v>1</v>
      </c>
      <c r="C19" s="91" t="str">
        <f>+'Score BD'!$J19&amp;'Score BD'!$B19</f>
        <v>Maira Alejandra Rodriguez Losada1</v>
      </c>
      <c r="D19" s="91" t="s">
        <v>148</v>
      </c>
      <c r="E19" s="92" t="s">
        <v>164</v>
      </c>
      <c r="F19" s="92" t="s">
        <v>212</v>
      </c>
      <c r="G19" s="91" t="str">
        <f t="shared" si="0"/>
        <v>Noviembre</v>
      </c>
      <c r="H19" s="93">
        <v>45966</v>
      </c>
      <c r="I19" s="93">
        <v>45965</v>
      </c>
      <c r="J19" s="95" t="s">
        <v>204</v>
      </c>
      <c r="K19" s="101">
        <f>IFERROR(VLOOKUP('Score BD'!$J19,Lista!A:B,2,0)," ")</f>
        <v>1075224344</v>
      </c>
      <c r="L19" s="157" t="s">
        <v>255</v>
      </c>
      <c r="M19" s="59" t="s">
        <v>4</v>
      </c>
      <c r="N19" s="59" t="s">
        <v>4</v>
      </c>
      <c r="O19" s="59" t="s">
        <v>4</v>
      </c>
      <c r="P19" s="59" t="s">
        <v>4</v>
      </c>
      <c r="Q19" s="96">
        <f t="shared" si="1"/>
        <v>1</v>
      </c>
      <c r="R19" s="59" t="s">
        <v>4</v>
      </c>
      <c r="S19" s="59" t="s">
        <v>4</v>
      </c>
      <c r="T19" s="59" t="s">
        <v>4</v>
      </c>
      <c r="U19" s="59" t="s">
        <v>4</v>
      </c>
      <c r="V19" s="97">
        <f t="shared" si="2"/>
        <v>1</v>
      </c>
      <c r="W19" s="59" t="s">
        <v>4</v>
      </c>
      <c r="X19" s="59" t="s">
        <v>4</v>
      </c>
      <c r="Y19" s="59" t="s">
        <v>4</v>
      </c>
      <c r="Z19" s="59" t="s">
        <v>4</v>
      </c>
      <c r="AA19" s="59" t="s">
        <v>4</v>
      </c>
      <c r="AB19" s="59" t="s">
        <v>4</v>
      </c>
      <c r="AC19" s="97">
        <f t="shared" si="3"/>
        <v>1.000000000000002</v>
      </c>
      <c r="AD19" s="59" t="s">
        <v>4</v>
      </c>
      <c r="AE19" s="59" t="s">
        <v>4</v>
      </c>
      <c r="AF19" s="97">
        <f t="shared" si="4"/>
        <v>1</v>
      </c>
      <c r="AG19" s="44">
        <f t="shared" si="5"/>
        <v>1.0000000000000004</v>
      </c>
      <c r="AH19" s="46">
        <f t="shared" si="6"/>
        <v>0</v>
      </c>
      <c r="AI19" s="46">
        <f>COUNTIF('Score BD'!$M19:$P19,"no")</f>
        <v>0</v>
      </c>
      <c r="AJ19" s="46">
        <f t="shared" si="7"/>
        <v>0</v>
      </c>
      <c r="AK19" s="46">
        <f t="shared" si="8"/>
        <v>0</v>
      </c>
      <c r="AL19" s="46">
        <f t="shared" si="9"/>
        <v>0</v>
      </c>
      <c r="AM19" s="59" t="s">
        <v>266</v>
      </c>
      <c r="AN19" s="59"/>
      <c r="AO19" s="59"/>
      <c r="AP19" s="59"/>
      <c r="AQ19" s="59" t="str">
        <f>IFERROR(_xlfn.XLOOKUP(Tabla1[[#This Row],[Cedula agente]],Lista!$B$2:$B$97,Lista!$G$2:$G$97)," ")</f>
        <v>Luisa Fernanda Benavides Castrillon</v>
      </c>
      <c r="AR19" s="59" t="s">
        <v>162</v>
      </c>
      <c r="AS19" s="46" t="str">
        <f>IFERROR(_xlfn.XLOOKUP(Tabla1[[#This Row],[Cedula agente]],Lista!$B$2:$B$97,Lista!$F$2:$F$97)," ")</f>
        <v>John Sebastian Roncancio Avendaño</v>
      </c>
      <c r="AT19" s="99">
        <v>0.95</v>
      </c>
      <c r="AU19" s="198">
        <f>+WEEKNUM('Score BD'!$H19)-WEEKNUM(DATE(YEAR('Score BD'!$H19),MONTH('Score BD'!$H19),1))+1</f>
        <v>2</v>
      </c>
    </row>
    <row r="20" spans="1:47" s="51" customFormat="1" ht="17.45" customHeight="1" x14ac:dyDescent="0.3">
      <c r="A20" s="163" t="str">
        <f t="shared" si="10"/>
        <v>Ministerio de Educación Nacional</v>
      </c>
      <c r="B20" s="91">
        <f>+IFERROR(COUNTIF($J$3:J20,J20)," ")</f>
        <v>2</v>
      </c>
      <c r="C20" s="91" t="str">
        <f>+'Score BD'!$J20&amp;'Score BD'!$B20</f>
        <v>Maira Alejandra Rodriguez Losada2</v>
      </c>
      <c r="D20" s="91" t="s">
        <v>148</v>
      </c>
      <c r="E20" s="92" t="s">
        <v>164</v>
      </c>
      <c r="F20" s="92" t="s">
        <v>212</v>
      </c>
      <c r="G20" s="91" t="str">
        <f t="shared" si="0"/>
        <v>Noviembre</v>
      </c>
      <c r="H20" s="93">
        <v>45966</v>
      </c>
      <c r="I20" s="93">
        <v>45965</v>
      </c>
      <c r="J20" s="95" t="s">
        <v>204</v>
      </c>
      <c r="K20" s="101">
        <f>IFERROR(VLOOKUP('Score BD'!$J20,Lista!A:B,2,0)," ")</f>
        <v>1075224344</v>
      </c>
      <c r="L20" s="157" t="s">
        <v>256</v>
      </c>
      <c r="M20" s="59" t="s">
        <v>4</v>
      </c>
      <c r="N20" s="59" t="s">
        <v>4</v>
      </c>
      <c r="O20" s="59" t="s">
        <v>4</v>
      </c>
      <c r="P20" s="59" t="s">
        <v>4</v>
      </c>
      <c r="Q20" s="96">
        <f t="shared" si="1"/>
        <v>1</v>
      </c>
      <c r="R20" s="59" t="s">
        <v>4</v>
      </c>
      <c r="S20" s="59" t="s">
        <v>4</v>
      </c>
      <c r="T20" s="59" t="s">
        <v>4</v>
      </c>
      <c r="U20" s="59" t="s">
        <v>4</v>
      </c>
      <c r="V20" s="103">
        <f t="shared" si="2"/>
        <v>1</v>
      </c>
      <c r="W20" s="59" t="s">
        <v>4</v>
      </c>
      <c r="X20" s="59" t="s">
        <v>4</v>
      </c>
      <c r="Y20" s="59" t="s">
        <v>4</v>
      </c>
      <c r="Z20" s="59" t="s">
        <v>4</v>
      </c>
      <c r="AA20" s="59" t="s">
        <v>4</v>
      </c>
      <c r="AB20" s="59" t="s">
        <v>4</v>
      </c>
      <c r="AC20" s="103">
        <f t="shared" si="3"/>
        <v>1.000000000000002</v>
      </c>
      <c r="AD20" s="59" t="s">
        <v>4</v>
      </c>
      <c r="AE20" s="59" t="s">
        <v>4</v>
      </c>
      <c r="AF20" s="97">
        <f t="shared" si="4"/>
        <v>1</v>
      </c>
      <c r="AG20" s="44">
        <f t="shared" si="5"/>
        <v>1.0000000000000004</v>
      </c>
      <c r="AH20" s="46">
        <f t="shared" si="6"/>
        <v>0</v>
      </c>
      <c r="AI20" s="46">
        <f>COUNTIF('Score BD'!$M20:$P20,"no")</f>
        <v>0</v>
      </c>
      <c r="AJ20" s="46">
        <f t="shared" si="7"/>
        <v>0</v>
      </c>
      <c r="AK20" s="46">
        <f t="shared" si="8"/>
        <v>0</v>
      </c>
      <c r="AL20" s="46">
        <f t="shared" si="9"/>
        <v>0</v>
      </c>
      <c r="AM20" s="59" t="s">
        <v>266</v>
      </c>
      <c r="AN20" s="59"/>
      <c r="AO20" s="59"/>
      <c r="AP20" s="106"/>
      <c r="AQ20" s="59" t="str">
        <f>IFERROR(_xlfn.XLOOKUP(Tabla1[[#This Row],[Cedula agente]],Lista!$B$2:$B$97,Lista!$G$2:$G$97)," ")</f>
        <v>Luisa Fernanda Benavides Castrillon</v>
      </c>
      <c r="AR20" s="59" t="s">
        <v>162</v>
      </c>
      <c r="AS20" s="46" t="str">
        <f>IFERROR(_xlfn.XLOOKUP(Tabla1[[#This Row],[Cedula agente]],Lista!$B$2:$B$97,Lista!$F$2:$F$97)," ")</f>
        <v>John Sebastian Roncancio Avendaño</v>
      </c>
      <c r="AT20" s="99">
        <v>0.95</v>
      </c>
      <c r="AU20" s="198">
        <f>+WEEKNUM('Score BD'!$H20)-WEEKNUM(DATE(YEAR('Score BD'!$H20),MONTH('Score BD'!$H20),1))+1</f>
        <v>2</v>
      </c>
    </row>
    <row r="21" spans="1:47" s="51" customFormat="1" ht="17.45" customHeight="1" x14ac:dyDescent="0.3">
      <c r="A21" s="163" t="str">
        <f t="shared" si="10"/>
        <v>Ministerio de Educación Nacional</v>
      </c>
      <c r="B21" s="91">
        <f>+IFERROR(COUNTIF($J$3:J21,J21)," ")</f>
        <v>1</v>
      </c>
      <c r="C21" s="91" t="str">
        <f>+'Score BD'!$J21&amp;'Score BD'!$B21</f>
        <v>María José Uribe Medina1</v>
      </c>
      <c r="D21" s="91" t="s">
        <v>148</v>
      </c>
      <c r="E21" s="92" t="s">
        <v>164</v>
      </c>
      <c r="F21" s="92" t="s">
        <v>212</v>
      </c>
      <c r="G21" s="91" t="str">
        <f t="shared" si="0"/>
        <v>Noviembre</v>
      </c>
      <c r="H21" s="93">
        <v>45966</v>
      </c>
      <c r="I21" s="93">
        <v>45965</v>
      </c>
      <c r="J21" s="95" t="s">
        <v>205</v>
      </c>
      <c r="K21" s="101">
        <f>IFERROR(VLOOKUP('Score BD'!$J21,Lista!A:B,2,0)," ")</f>
        <v>1121919150</v>
      </c>
      <c r="L21" s="157" t="s">
        <v>257</v>
      </c>
      <c r="M21" s="59" t="s">
        <v>4</v>
      </c>
      <c r="N21" s="59" t="s">
        <v>4</v>
      </c>
      <c r="O21" s="59" t="s">
        <v>4</v>
      </c>
      <c r="P21" s="59" t="s">
        <v>4</v>
      </c>
      <c r="Q21" s="96">
        <f t="shared" si="1"/>
        <v>1</v>
      </c>
      <c r="R21" s="59" t="s">
        <v>4</v>
      </c>
      <c r="S21" s="59" t="s">
        <v>4</v>
      </c>
      <c r="T21" s="59" t="s">
        <v>4</v>
      </c>
      <c r="U21" s="59" t="s">
        <v>4</v>
      </c>
      <c r="V21" s="97">
        <f t="shared" si="2"/>
        <v>1</v>
      </c>
      <c r="W21" s="59" t="s">
        <v>4</v>
      </c>
      <c r="X21" s="59" t="s">
        <v>4</v>
      </c>
      <c r="Y21" s="59" t="s">
        <v>4</v>
      </c>
      <c r="Z21" s="59" t="s">
        <v>4</v>
      </c>
      <c r="AA21" s="59" t="s">
        <v>4</v>
      </c>
      <c r="AB21" s="59" t="s">
        <v>4</v>
      </c>
      <c r="AC21" s="97">
        <f t="shared" si="3"/>
        <v>1.000000000000002</v>
      </c>
      <c r="AD21" s="59" t="s">
        <v>4</v>
      </c>
      <c r="AE21" s="59" t="s">
        <v>4</v>
      </c>
      <c r="AF21" s="97">
        <f t="shared" si="4"/>
        <v>1</v>
      </c>
      <c r="AG21" s="44">
        <f t="shared" si="5"/>
        <v>1.0000000000000004</v>
      </c>
      <c r="AH21" s="46">
        <f t="shared" si="6"/>
        <v>0</v>
      </c>
      <c r="AI21" s="46">
        <f>COUNTIF('Score BD'!$M21:$P21,"no")</f>
        <v>0</v>
      </c>
      <c r="AJ21" s="46">
        <f t="shared" si="7"/>
        <v>0</v>
      </c>
      <c r="AK21" s="46">
        <f t="shared" si="8"/>
        <v>0</v>
      </c>
      <c r="AL21" s="46">
        <f t="shared" si="9"/>
        <v>0</v>
      </c>
      <c r="AM21" s="59" t="s">
        <v>266</v>
      </c>
      <c r="AN21" s="59"/>
      <c r="AO21" s="102"/>
      <c r="AP21" s="106"/>
      <c r="AQ21" s="59" t="str">
        <f>IFERROR(_xlfn.XLOOKUP(Tabla1[[#This Row],[Cedula agente]],Lista!$B$2:$B$97,Lista!$G$2:$G$97)," ")</f>
        <v>Luisa Fernanda Benavides Castrillon</v>
      </c>
      <c r="AR21" s="59" t="s">
        <v>162</v>
      </c>
      <c r="AS21" s="46" t="str">
        <f>IFERROR(_xlfn.XLOOKUP(Tabla1[[#This Row],[Cedula agente]],Lista!$B$2:$B$97,Lista!$F$2:$F$97)," ")</f>
        <v>John Sebastian Roncancio Avendaño</v>
      </c>
      <c r="AT21" s="99">
        <v>0.95</v>
      </c>
      <c r="AU21" s="198">
        <f>+WEEKNUM('Score BD'!$H21)-WEEKNUM(DATE(YEAR('Score BD'!$H21),MONTH('Score BD'!$H21),1))+1</f>
        <v>2</v>
      </c>
    </row>
    <row r="22" spans="1:47" s="51" customFormat="1" ht="17.45" customHeight="1" x14ac:dyDescent="0.3">
      <c r="A22" s="163" t="str">
        <f t="shared" si="10"/>
        <v>Ministerio de Educación Nacional</v>
      </c>
      <c r="B22" s="91">
        <f>+IFERROR(COUNTIF($J$3:J22,J22)," ")</f>
        <v>2</v>
      </c>
      <c r="C22" s="91" t="str">
        <f>+'Score BD'!$J22&amp;'Score BD'!$B22</f>
        <v>María José Uribe Medina2</v>
      </c>
      <c r="D22" s="91" t="s">
        <v>148</v>
      </c>
      <c r="E22" s="92" t="s">
        <v>164</v>
      </c>
      <c r="F22" s="92" t="s">
        <v>212</v>
      </c>
      <c r="G22" s="91" t="str">
        <f t="shared" si="0"/>
        <v>Noviembre</v>
      </c>
      <c r="H22" s="93">
        <v>45966</v>
      </c>
      <c r="I22" s="93">
        <v>45965</v>
      </c>
      <c r="J22" s="95" t="s">
        <v>205</v>
      </c>
      <c r="K22" s="101">
        <f>IFERROR(VLOOKUP('Score BD'!$J22,Lista!A:B,2,0)," ")</f>
        <v>1121919150</v>
      </c>
      <c r="L22" s="157" t="s">
        <v>258</v>
      </c>
      <c r="M22" s="59" t="s">
        <v>4</v>
      </c>
      <c r="N22" s="59" t="s">
        <v>4</v>
      </c>
      <c r="O22" s="59" t="s">
        <v>4</v>
      </c>
      <c r="P22" s="59" t="s">
        <v>4</v>
      </c>
      <c r="Q22" s="96">
        <f t="shared" si="1"/>
        <v>1</v>
      </c>
      <c r="R22" s="59" t="s">
        <v>4</v>
      </c>
      <c r="S22" s="59" t="s">
        <v>4</v>
      </c>
      <c r="T22" s="59" t="s">
        <v>4</v>
      </c>
      <c r="U22" s="59" t="s">
        <v>4</v>
      </c>
      <c r="V22" s="97">
        <f t="shared" si="2"/>
        <v>1</v>
      </c>
      <c r="W22" s="59" t="s">
        <v>4</v>
      </c>
      <c r="X22" s="59" t="s">
        <v>4</v>
      </c>
      <c r="Y22" s="59" t="s">
        <v>4</v>
      </c>
      <c r="Z22" s="59" t="s">
        <v>4</v>
      </c>
      <c r="AA22" s="59" t="s">
        <v>4</v>
      </c>
      <c r="AB22" s="59" t="s">
        <v>4</v>
      </c>
      <c r="AC22" s="97">
        <f t="shared" si="3"/>
        <v>1.000000000000002</v>
      </c>
      <c r="AD22" s="59" t="s">
        <v>4</v>
      </c>
      <c r="AE22" s="59" t="s">
        <v>4</v>
      </c>
      <c r="AF22" s="97">
        <f t="shared" si="4"/>
        <v>1</v>
      </c>
      <c r="AG22" s="44">
        <f t="shared" si="5"/>
        <v>1.0000000000000004</v>
      </c>
      <c r="AH22" s="46">
        <f t="shared" si="6"/>
        <v>0</v>
      </c>
      <c r="AI22" s="46">
        <f>COUNTIF('Score BD'!$M22:$P22,"no")</f>
        <v>0</v>
      </c>
      <c r="AJ22" s="46">
        <f t="shared" si="7"/>
        <v>0</v>
      </c>
      <c r="AK22" s="46">
        <f t="shared" si="8"/>
        <v>0</v>
      </c>
      <c r="AL22" s="46">
        <f t="shared" si="9"/>
        <v>0</v>
      </c>
      <c r="AM22" s="59" t="s">
        <v>266</v>
      </c>
      <c r="AN22" s="59"/>
      <c r="AO22" s="102"/>
      <c r="AP22" s="59"/>
      <c r="AQ22" s="59" t="str">
        <f>IFERROR(_xlfn.XLOOKUP(Tabla1[[#This Row],[Cedula agente]],Lista!$B$2:$B$97,Lista!$G$2:$G$97)," ")</f>
        <v>Luisa Fernanda Benavides Castrillon</v>
      </c>
      <c r="AR22" s="59" t="s">
        <v>162</v>
      </c>
      <c r="AS22" s="46" t="str">
        <f>IFERROR(_xlfn.XLOOKUP(Tabla1[[#This Row],[Cedula agente]],Lista!$B$2:$B$97,Lista!$F$2:$F$97)," ")</f>
        <v>John Sebastian Roncancio Avendaño</v>
      </c>
      <c r="AT22" s="99">
        <v>0.95</v>
      </c>
      <c r="AU22" s="198">
        <f>+WEEKNUM('Score BD'!$H22)-WEEKNUM(DATE(YEAR('Score BD'!$H22),MONTH('Score BD'!$H22),1))+1</f>
        <v>2</v>
      </c>
    </row>
    <row r="23" spans="1:47" s="51" customFormat="1" ht="17.45" customHeight="1" x14ac:dyDescent="0.3">
      <c r="A23" s="163" t="str">
        <f t="shared" si="10"/>
        <v>Ministerio de Educación Nacional</v>
      </c>
      <c r="B23" s="91">
        <f>+IFERROR(COUNTIF($J$3:J23,J23)," ")</f>
        <v>1</v>
      </c>
      <c r="C23" s="91" t="str">
        <f>+'Score BD'!$J23&amp;'Score BD'!$B23</f>
        <v>Natalia Cañón Betancourt1</v>
      </c>
      <c r="D23" s="91" t="s">
        <v>148</v>
      </c>
      <c r="E23" s="92" t="s">
        <v>164</v>
      </c>
      <c r="F23" s="92" t="s">
        <v>212</v>
      </c>
      <c r="G23" s="91" t="str">
        <f t="shared" si="0"/>
        <v>Noviembre</v>
      </c>
      <c r="H23" s="93">
        <v>45966</v>
      </c>
      <c r="I23" s="93">
        <v>45965</v>
      </c>
      <c r="J23" s="95" t="s">
        <v>181</v>
      </c>
      <c r="K23" s="101">
        <f>IFERROR(VLOOKUP('Score BD'!$J23,Lista!A:B,2,0)," ")</f>
        <v>1000383417</v>
      </c>
      <c r="L23" s="226" t="s">
        <v>259</v>
      </c>
      <c r="M23" s="59" t="s">
        <v>4</v>
      </c>
      <c r="N23" s="59" t="s">
        <v>4</v>
      </c>
      <c r="O23" s="59" t="s">
        <v>4</v>
      </c>
      <c r="P23" s="59" t="s">
        <v>4</v>
      </c>
      <c r="Q23" s="96">
        <f t="shared" si="1"/>
        <v>1</v>
      </c>
      <c r="R23" s="59" t="s">
        <v>4</v>
      </c>
      <c r="S23" s="59" t="s">
        <v>4</v>
      </c>
      <c r="T23" s="59" t="s">
        <v>4</v>
      </c>
      <c r="U23" s="59" t="s">
        <v>5</v>
      </c>
      <c r="V23" s="97">
        <f t="shared" si="2"/>
        <v>0.75</v>
      </c>
      <c r="W23" s="59" t="s">
        <v>4</v>
      </c>
      <c r="X23" s="59" t="s">
        <v>4</v>
      </c>
      <c r="Y23" s="59" t="s">
        <v>4</v>
      </c>
      <c r="Z23" s="59" t="s">
        <v>4</v>
      </c>
      <c r="AA23" s="59" t="s">
        <v>4</v>
      </c>
      <c r="AB23" s="59" t="s">
        <v>4</v>
      </c>
      <c r="AC23" s="97">
        <f t="shared" si="3"/>
        <v>1.000000000000002</v>
      </c>
      <c r="AD23" s="59" t="s">
        <v>4</v>
      </c>
      <c r="AE23" s="59" t="s">
        <v>4</v>
      </c>
      <c r="AF23" s="97">
        <f t="shared" si="4"/>
        <v>1</v>
      </c>
      <c r="AG23" s="44">
        <f t="shared" si="5"/>
        <v>0.93750000000000044</v>
      </c>
      <c r="AH23" s="46">
        <f t="shared" si="6"/>
        <v>1</v>
      </c>
      <c r="AI23" s="46">
        <f>COUNTIF('Score BD'!$M23:$P23,"no")</f>
        <v>0</v>
      </c>
      <c r="AJ23" s="46">
        <f t="shared" si="7"/>
        <v>1</v>
      </c>
      <c r="AK23" s="46">
        <f t="shared" si="8"/>
        <v>0</v>
      </c>
      <c r="AL23" s="46">
        <f t="shared" si="9"/>
        <v>0</v>
      </c>
      <c r="AM23" s="59" t="s">
        <v>267</v>
      </c>
      <c r="AN23" s="59" t="s">
        <v>271</v>
      </c>
      <c r="AO23" s="102" t="s">
        <v>270</v>
      </c>
      <c r="AP23" s="59" t="s">
        <v>359</v>
      </c>
      <c r="AQ23" s="59" t="str">
        <f>IFERROR(_xlfn.XLOOKUP(Tabla1[[#This Row],[Cedula agente]],Lista!$B$2:$B$97,Lista!$G$2:$G$97)," ")</f>
        <v>Luisa Fernanda Benavides Castrillon</v>
      </c>
      <c r="AR23" s="59" t="s">
        <v>162</v>
      </c>
      <c r="AS23" s="46" t="str">
        <f>IFERROR(_xlfn.XLOOKUP(Tabla1[[#This Row],[Cedula agente]],Lista!$B$2:$B$97,Lista!$F$2:$F$97)," ")</f>
        <v>John Sebastian Roncancio Avendaño</v>
      </c>
      <c r="AT23" s="99">
        <v>0.95</v>
      </c>
      <c r="AU23" s="198">
        <f>+WEEKNUM('Score BD'!$H23)-WEEKNUM(DATE(YEAR('Score BD'!$H23),MONTH('Score BD'!$H23),1))+1</f>
        <v>2</v>
      </c>
    </row>
    <row r="24" spans="1:47" s="51" customFormat="1" ht="17.45" customHeight="1" x14ac:dyDescent="0.3">
      <c r="A24" s="163" t="str">
        <f t="shared" si="10"/>
        <v>Ministerio de Educación Nacional</v>
      </c>
      <c r="B24" s="91">
        <f>+IFERROR(COUNTIF($J$3:J24,J24)," ")</f>
        <v>2</v>
      </c>
      <c r="C24" s="91" t="str">
        <f>+'Score BD'!$J24&amp;'Score BD'!$B24</f>
        <v>Natalia Cañón Betancourt2</v>
      </c>
      <c r="D24" s="91" t="s">
        <v>148</v>
      </c>
      <c r="E24" s="92" t="s">
        <v>164</v>
      </c>
      <c r="F24" s="92" t="s">
        <v>212</v>
      </c>
      <c r="G24" s="91" t="str">
        <f t="shared" si="0"/>
        <v>Noviembre</v>
      </c>
      <c r="H24" s="93">
        <v>45966</v>
      </c>
      <c r="I24" s="94">
        <v>45965</v>
      </c>
      <c r="J24" s="95" t="s">
        <v>181</v>
      </c>
      <c r="K24" s="101">
        <f>IFERROR(VLOOKUP('Score BD'!$J24,Lista!A:B,2,0)," ")</f>
        <v>1000383417</v>
      </c>
      <c r="L24" s="226" t="s">
        <v>260</v>
      </c>
      <c r="M24" s="59" t="s">
        <v>4</v>
      </c>
      <c r="N24" s="59" t="s">
        <v>4</v>
      </c>
      <c r="O24" s="59" t="s">
        <v>4</v>
      </c>
      <c r="P24" s="59" t="s">
        <v>4</v>
      </c>
      <c r="Q24" s="96">
        <f t="shared" si="1"/>
        <v>1</v>
      </c>
      <c r="R24" s="59" t="s">
        <v>4</v>
      </c>
      <c r="S24" s="59" t="s">
        <v>4</v>
      </c>
      <c r="T24" s="59" t="s">
        <v>4</v>
      </c>
      <c r="U24" s="59" t="s">
        <v>4</v>
      </c>
      <c r="V24" s="97">
        <f t="shared" si="2"/>
        <v>1</v>
      </c>
      <c r="W24" s="59" t="s">
        <v>4</v>
      </c>
      <c r="X24" s="59" t="s">
        <v>4</v>
      </c>
      <c r="Y24" s="59" t="s">
        <v>4</v>
      </c>
      <c r="Z24" s="59" t="s">
        <v>4</v>
      </c>
      <c r="AA24" s="59" t="s">
        <v>4</v>
      </c>
      <c r="AB24" s="59" t="s">
        <v>4</v>
      </c>
      <c r="AC24" s="97">
        <f t="shared" si="3"/>
        <v>1.000000000000002</v>
      </c>
      <c r="AD24" s="59" t="s">
        <v>4</v>
      </c>
      <c r="AE24" s="59" t="s">
        <v>4</v>
      </c>
      <c r="AF24" s="97">
        <f t="shared" si="4"/>
        <v>1</v>
      </c>
      <c r="AG24" s="44">
        <f t="shared" si="5"/>
        <v>1.0000000000000004</v>
      </c>
      <c r="AH24" s="46">
        <f t="shared" si="6"/>
        <v>0</v>
      </c>
      <c r="AI24" s="46">
        <f>COUNTIF('Score BD'!$M24:$P24,"no")</f>
        <v>0</v>
      </c>
      <c r="AJ24" s="46">
        <f t="shared" si="7"/>
        <v>0</v>
      </c>
      <c r="AK24" s="46">
        <f t="shared" si="8"/>
        <v>0</v>
      </c>
      <c r="AL24" s="46">
        <f t="shared" si="9"/>
        <v>0</v>
      </c>
      <c r="AM24" s="59" t="s">
        <v>266</v>
      </c>
      <c r="AN24" s="106"/>
      <c r="AO24" s="102"/>
      <c r="AP24" s="59"/>
      <c r="AQ24" s="59" t="str">
        <f>IFERROR(_xlfn.XLOOKUP(Tabla1[[#This Row],[Cedula agente]],Lista!$B$2:$B$97,Lista!$G$2:$G$97)," ")</f>
        <v>Luisa Fernanda Benavides Castrillon</v>
      </c>
      <c r="AR24" s="59" t="s">
        <v>162</v>
      </c>
      <c r="AS24" s="46" t="str">
        <f>IFERROR(_xlfn.XLOOKUP(Tabla1[[#This Row],[Cedula agente]],Lista!$B$2:$B$97,Lista!$F$2:$F$97)," ")</f>
        <v>John Sebastian Roncancio Avendaño</v>
      </c>
      <c r="AT24" s="99">
        <v>0.95</v>
      </c>
      <c r="AU24" s="198">
        <f>+WEEKNUM('Score BD'!$H24)-WEEKNUM(DATE(YEAR('Score BD'!$H24),MONTH('Score BD'!$H24),1))+1</f>
        <v>2</v>
      </c>
    </row>
    <row r="25" spans="1:47" s="51" customFormat="1" ht="17.45" customHeight="1" x14ac:dyDescent="0.3">
      <c r="A25" s="163" t="str">
        <f t="shared" si="10"/>
        <v>Ministerio de Educación Nacional</v>
      </c>
      <c r="B25" s="91">
        <f>+IFERROR(COUNTIF($J$3:J25,J25)," ")</f>
        <v>1</v>
      </c>
      <c r="C25" s="91" t="str">
        <f>+'Score BD'!$J25&amp;'Score BD'!$B25</f>
        <v>Quira Alejandra Herrera Camelo1</v>
      </c>
      <c r="D25" s="91" t="s">
        <v>148</v>
      </c>
      <c r="E25" s="92" t="s">
        <v>208</v>
      </c>
      <c r="F25" s="92" t="s">
        <v>212</v>
      </c>
      <c r="G25" s="91" t="str">
        <f t="shared" si="0"/>
        <v>Noviembre</v>
      </c>
      <c r="H25" s="93">
        <v>45966</v>
      </c>
      <c r="I25" s="94">
        <v>45965</v>
      </c>
      <c r="J25" s="95" t="s">
        <v>182</v>
      </c>
      <c r="K25" s="101">
        <f>IFERROR(VLOOKUP('Score BD'!$J25,Lista!A:B,2,0)," ")</f>
        <v>1010214168</v>
      </c>
      <c r="L25" s="157" t="s">
        <v>261</v>
      </c>
      <c r="M25" s="59" t="s">
        <v>4</v>
      </c>
      <c r="N25" s="59" t="s">
        <v>5</v>
      </c>
      <c r="O25" s="59" t="s">
        <v>4</v>
      </c>
      <c r="P25" s="59" t="s">
        <v>4</v>
      </c>
      <c r="Q25" s="96">
        <f t="shared" si="1"/>
        <v>0.75</v>
      </c>
      <c r="R25" s="59" t="s">
        <v>4</v>
      </c>
      <c r="S25" s="59" t="s">
        <v>4</v>
      </c>
      <c r="T25" s="59" t="s">
        <v>4</v>
      </c>
      <c r="U25" s="59" t="s">
        <v>4</v>
      </c>
      <c r="V25" s="97">
        <f t="shared" si="2"/>
        <v>1</v>
      </c>
      <c r="W25" s="59" t="s">
        <v>4</v>
      </c>
      <c r="X25" s="59" t="s">
        <v>4</v>
      </c>
      <c r="Y25" s="59" t="s">
        <v>4</v>
      </c>
      <c r="Z25" s="59" t="s">
        <v>4</v>
      </c>
      <c r="AA25" s="59" t="s">
        <v>4</v>
      </c>
      <c r="AB25" s="59" t="s">
        <v>4</v>
      </c>
      <c r="AC25" s="97">
        <f t="shared" si="3"/>
        <v>1.000000000000002</v>
      </c>
      <c r="AD25" s="59" t="s">
        <v>4</v>
      </c>
      <c r="AE25" s="59" t="s">
        <v>4</v>
      </c>
      <c r="AF25" s="97">
        <f t="shared" si="4"/>
        <v>1</v>
      </c>
      <c r="AG25" s="44">
        <f t="shared" si="5"/>
        <v>0.93750000000000044</v>
      </c>
      <c r="AH25" s="46">
        <f t="shared" si="6"/>
        <v>0</v>
      </c>
      <c r="AI25" s="46">
        <f>COUNTIF('Score BD'!$M25:$P25,"no")</f>
        <v>1</v>
      </c>
      <c r="AJ25" s="46">
        <f t="shared" si="7"/>
        <v>0</v>
      </c>
      <c r="AK25" s="46">
        <f t="shared" si="8"/>
        <v>0</v>
      </c>
      <c r="AL25" s="46">
        <f t="shared" si="9"/>
        <v>0</v>
      </c>
      <c r="AM25" s="59" t="s">
        <v>268</v>
      </c>
      <c r="AN25" s="59" t="s">
        <v>269</v>
      </c>
      <c r="AO25" s="102" t="s">
        <v>270</v>
      </c>
      <c r="AP25" s="59" t="s">
        <v>360</v>
      </c>
      <c r="AQ25" s="59" t="str">
        <f>IFERROR(_xlfn.XLOOKUP(Tabla1[[#This Row],[Cedula agente]],Lista!$B$2:$B$97,Lista!$G$2:$G$97)," ")</f>
        <v>Luisa Fernanda Benavides Castrillon</v>
      </c>
      <c r="AR25" s="59" t="s">
        <v>162</v>
      </c>
      <c r="AS25" s="46" t="str">
        <f>IFERROR(_xlfn.XLOOKUP(Tabla1[[#This Row],[Cedula agente]],Lista!$B$2:$B$97,Lista!$F$2:$F$97)," ")</f>
        <v>John Sebastian Roncancio Avendaño</v>
      </c>
      <c r="AT25" s="99">
        <v>0.95</v>
      </c>
      <c r="AU25" s="198">
        <f>+WEEKNUM('Score BD'!$H25)-WEEKNUM(DATE(YEAR('Score BD'!$H25),MONTH('Score BD'!$H25),1))+1</f>
        <v>2</v>
      </c>
    </row>
    <row r="26" spans="1:47" s="51" customFormat="1" ht="17.45" customHeight="1" x14ac:dyDescent="0.3">
      <c r="A26" s="163" t="str">
        <f t="shared" si="10"/>
        <v>Ministerio de Educación Nacional</v>
      </c>
      <c r="B26" s="91">
        <f>+IFERROR(COUNTIF($J$3:J26,J26)," ")</f>
        <v>1</v>
      </c>
      <c r="C26" s="91" t="str">
        <f>+'Score BD'!$J26&amp;'Score BD'!$B26</f>
        <v>Valentina Castillo Rondón1</v>
      </c>
      <c r="D26" s="91" t="s">
        <v>148</v>
      </c>
      <c r="E26" s="92" t="s">
        <v>165</v>
      </c>
      <c r="F26" s="92" t="s">
        <v>212</v>
      </c>
      <c r="G26" s="91" t="str">
        <f t="shared" si="0"/>
        <v>Noviembre</v>
      </c>
      <c r="H26" s="93">
        <v>45966</v>
      </c>
      <c r="I26" s="94">
        <v>45965</v>
      </c>
      <c r="J26" s="95" t="s">
        <v>183</v>
      </c>
      <c r="K26" s="101">
        <f>IFERROR(VLOOKUP('Score BD'!$J26,Lista!A:B,2,0)," ")</f>
        <v>1121950095</v>
      </c>
      <c r="L26" s="157" t="s">
        <v>262</v>
      </c>
      <c r="M26" s="59" t="s">
        <v>4</v>
      </c>
      <c r="N26" s="59" t="s">
        <v>4</v>
      </c>
      <c r="O26" s="59" t="s">
        <v>4</v>
      </c>
      <c r="P26" s="59" t="s">
        <v>4</v>
      </c>
      <c r="Q26" s="96">
        <f t="shared" si="1"/>
        <v>1</v>
      </c>
      <c r="R26" s="59" t="s">
        <v>4</v>
      </c>
      <c r="S26" s="59" t="s">
        <v>4</v>
      </c>
      <c r="T26" s="59" t="s">
        <v>4</v>
      </c>
      <c r="U26" s="59" t="s">
        <v>4</v>
      </c>
      <c r="V26" s="97">
        <f t="shared" si="2"/>
        <v>1</v>
      </c>
      <c r="W26" s="59" t="s">
        <v>4</v>
      </c>
      <c r="X26" s="59" t="s">
        <v>4</v>
      </c>
      <c r="Y26" s="59" t="s">
        <v>4</v>
      </c>
      <c r="Z26" s="59" t="s">
        <v>4</v>
      </c>
      <c r="AA26" s="59" t="s">
        <v>4</v>
      </c>
      <c r="AB26" s="59" t="s">
        <v>4</v>
      </c>
      <c r="AC26" s="97">
        <f t="shared" si="3"/>
        <v>1.000000000000002</v>
      </c>
      <c r="AD26" s="59" t="s">
        <v>4</v>
      </c>
      <c r="AE26" s="59" t="s">
        <v>4</v>
      </c>
      <c r="AF26" s="97">
        <f t="shared" si="4"/>
        <v>1</v>
      </c>
      <c r="AG26" s="44">
        <f t="shared" si="5"/>
        <v>1.0000000000000004</v>
      </c>
      <c r="AH26" s="46">
        <f t="shared" si="6"/>
        <v>0</v>
      </c>
      <c r="AI26" s="46">
        <f>COUNTIF('Score BD'!$M26:$P26,"no")</f>
        <v>0</v>
      </c>
      <c r="AJ26" s="46">
        <f t="shared" si="7"/>
        <v>0</v>
      </c>
      <c r="AK26" s="46">
        <f t="shared" si="8"/>
        <v>0</v>
      </c>
      <c r="AL26" s="47">
        <f t="shared" si="9"/>
        <v>0</v>
      </c>
      <c r="AM26" s="59" t="s">
        <v>266</v>
      </c>
      <c r="AN26" s="59"/>
      <c r="AO26" s="102"/>
      <c r="AP26" s="59"/>
      <c r="AQ26" s="59" t="str">
        <f>IFERROR(_xlfn.XLOOKUP(Tabla1[[#This Row],[Cedula agente]],Lista!$B$2:$B$97,Lista!$G$2:$G$97)," ")</f>
        <v>Luisa Fernanda Benavides Castrillon</v>
      </c>
      <c r="AR26" s="59" t="s">
        <v>162</v>
      </c>
      <c r="AS26" s="46" t="str">
        <f>IFERROR(_xlfn.XLOOKUP(Tabla1[[#This Row],[Cedula agente]],Lista!$B$2:$B$97,Lista!$F$2:$F$97)," ")</f>
        <v>John Sebastian Roncancio Avendaño</v>
      </c>
      <c r="AT26" s="99">
        <v>0.95</v>
      </c>
      <c r="AU26" s="199">
        <f>+WEEKNUM('Score BD'!$H26)-WEEKNUM(DATE(YEAR('Score BD'!$H26),MONTH('Score BD'!$H26),1))+1</f>
        <v>2</v>
      </c>
    </row>
    <row r="27" spans="1:47" s="51" customFormat="1" ht="17.45" customHeight="1" x14ac:dyDescent="0.3">
      <c r="A27" s="163" t="str">
        <f t="shared" si="10"/>
        <v>Ministerio de Educación Nacional</v>
      </c>
      <c r="B27" s="91">
        <f>+IFERROR(COUNTIF($J$3:J27,J27)," ")</f>
        <v>1</v>
      </c>
      <c r="C27" s="91" t="str">
        <f>+'Score BD'!$J27&amp;'Score BD'!$B27</f>
        <v>Yenny Maribel Duran Ovejero1</v>
      </c>
      <c r="D27" s="91" t="s">
        <v>148</v>
      </c>
      <c r="E27" s="92" t="s">
        <v>165</v>
      </c>
      <c r="F27" s="92" t="s">
        <v>212</v>
      </c>
      <c r="G27" s="91" t="str">
        <f t="shared" si="0"/>
        <v>Noviembre</v>
      </c>
      <c r="H27" s="93">
        <v>45966</v>
      </c>
      <c r="I27" s="94">
        <v>45965</v>
      </c>
      <c r="J27" s="57" t="s">
        <v>206</v>
      </c>
      <c r="K27" s="101">
        <f>IFERROR(VLOOKUP('Score BD'!$J27,Lista!A:B,2,0)," ")</f>
        <v>52962387</v>
      </c>
      <c r="L27" s="157" t="s">
        <v>263</v>
      </c>
      <c r="M27" s="59" t="s">
        <v>4</v>
      </c>
      <c r="N27" s="59" t="s">
        <v>4</v>
      </c>
      <c r="O27" s="59" t="s">
        <v>4</v>
      </c>
      <c r="P27" s="59" t="s">
        <v>4</v>
      </c>
      <c r="Q27" s="96">
        <f t="shared" si="1"/>
        <v>1</v>
      </c>
      <c r="R27" s="59" t="s">
        <v>4</v>
      </c>
      <c r="S27" s="59" t="s">
        <v>4</v>
      </c>
      <c r="T27" s="59" t="s">
        <v>4</v>
      </c>
      <c r="U27" s="59" t="s">
        <v>4</v>
      </c>
      <c r="V27" s="97">
        <f t="shared" si="2"/>
        <v>1</v>
      </c>
      <c r="W27" s="59" t="s">
        <v>4</v>
      </c>
      <c r="X27" s="59" t="s">
        <v>4</v>
      </c>
      <c r="Y27" s="59" t="s">
        <v>4</v>
      </c>
      <c r="Z27" s="59" t="s">
        <v>4</v>
      </c>
      <c r="AA27" s="59" t="s">
        <v>4</v>
      </c>
      <c r="AB27" s="59" t="s">
        <v>4</v>
      </c>
      <c r="AC27" s="97">
        <f t="shared" si="3"/>
        <v>1.000000000000002</v>
      </c>
      <c r="AD27" s="59" t="s">
        <v>4</v>
      </c>
      <c r="AE27" s="59" t="s">
        <v>4</v>
      </c>
      <c r="AF27" s="97">
        <f t="shared" si="4"/>
        <v>1</v>
      </c>
      <c r="AG27" s="44">
        <f t="shared" si="5"/>
        <v>1.0000000000000004</v>
      </c>
      <c r="AH27" s="46">
        <f t="shared" si="6"/>
        <v>0</v>
      </c>
      <c r="AI27" s="46">
        <f>COUNTIF('Score BD'!$M27:$P27,"no")</f>
        <v>0</v>
      </c>
      <c r="AJ27" s="46">
        <f t="shared" si="7"/>
        <v>0</v>
      </c>
      <c r="AK27" s="46">
        <f t="shared" si="8"/>
        <v>0</v>
      </c>
      <c r="AL27" s="46">
        <f t="shared" si="9"/>
        <v>0</v>
      </c>
      <c r="AM27" s="59" t="s">
        <v>266</v>
      </c>
      <c r="AN27" s="59"/>
      <c r="AO27" s="102"/>
      <c r="AP27" s="59"/>
      <c r="AQ27" s="59" t="str">
        <f>IFERROR(_xlfn.XLOOKUP(Tabla1[[#This Row],[Cedula agente]],Lista!$B$2:$B$97,Lista!$G$2:$G$97)," ")</f>
        <v>Luisa Fernanda Benavides Castrillon</v>
      </c>
      <c r="AR27" s="59" t="s">
        <v>162</v>
      </c>
      <c r="AS27" s="46" t="str">
        <f>IFERROR(_xlfn.XLOOKUP(Tabla1[[#This Row],[Cedula agente]],Lista!$B$2:$B$97,Lista!$F$2:$F$97)," ")</f>
        <v>John Sebastian Roncancio Avendaño</v>
      </c>
      <c r="AT27" s="99">
        <v>0.95</v>
      </c>
      <c r="AU27" s="198">
        <f>+WEEKNUM('Score BD'!$H27)-WEEKNUM(DATE(YEAR('Score BD'!$H27),MONTH('Score BD'!$H27),1))+1</f>
        <v>2</v>
      </c>
    </row>
    <row r="28" spans="1:47" s="51" customFormat="1" ht="17.45" customHeight="1" x14ac:dyDescent="0.3">
      <c r="A28" s="163" t="str">
        <f t="shared" si="10"/>
        <v>Ministerio de Educación Nacional</v>
      </c>
      <c r="B28" s="91">
        <f>+IFERROR(COUNTIF($J$3:J28,J28)," ")</f>
        <v>2</v>
      </c>
      <c r="C28" s="91" t="str">
        <f>+'Score BD'!$J28&amp;'Score BD'!$B28</f>
        <v>Yenny Maribel Duran Ovejero2</v>
      </c>
      <c r="D28" s="91" t="s">
        <v>148</v>
      </c>
      <c r="E28" s="92" t="s">
        <v>165</v>
      </c>
      <c r="F28" s="92" t="s">
        <v>212</v>
      </c>
      <c r="G28" s="91" t="str">
        <f t="shared" si="0"/>
        <v>Noviembre</v>
      </c>
      <c r="H28" s="93">
        <v>45966</v>
      </c>
      <c r="I28" s="94">
        <v>45965</v>
      </c>
      <c r="J28" s="57" t="s">
        <v>206</v>
      </c>
      <c r="K28" s="101">
        <f>IFERROR(VLOOKUP('Score BD'!$J28,Lista!A:B,2,0)," ")</f>
        <v>52962387</v>
      </c>
      <c r="L28" s="157" t="s">
        <v>264</v>
      </c>
      <c r="M28" s="59" t="s">
        <v>4</v>
      </c>
      <c r="N28" s="59" t="s">
        <v>4</v>
      </c>
      <c r="O28" s="59" t="s">
        <v>4</v>
      </c>
      <c r="P28" s="59" t="s">
        <v>4</v>
      </c>
      <c r="Q28" s="96">
        <f t="shared" si="1"/>
        <v>1</v>
      </c>
      <c r="R28" s="59" t="s">
        <v>4</v>
      </c>
      <c r="S28" s="59" t="s">
        <v>4</v>
      </c>
      <c r="T28" s="59" t="s">
        <v>4</v>
      </c>
      <c r="U28" s="59" t="s">
        <v>4</v>
      </c>
      <c r="V28" s="97">
        <f t="shared" si="2"/>
        <v>1</v>
      </c>
      <c r="W28" s="59" t="s">
        <v>4</v>
      </c>
      <c r="X28" s="59" t="s">
        <v>4</v>
      </c>
      <c r="Y28" s="59" t="s">
        <v>4</v>
      </c>
      <c r="Z28" s="59" t="s">
        <v>4</v>
      </c>
      <c r="AA28" s="59" t="s">
        <v>4</v>
      </c>
      <c r="AB28" s="59" t="s">
        <v>4</v>
      </c>
      <c r="AC28" s="97">
        <f t="shared" si="3"/>
        <v>1.000000000000002</v>
      </c>
      <c r="AD28" s="59" t="s">
        <v>4</v>
      </c>
      <c r="AE28" s="59" t="s">
        <v>4</v>
      </c>
      <c r="AF28" s="97">
        <f t="shared" si="4"/>
        <v>1</v>
      </c>
      <c r="AG28" s="44">
        <f t="shared" si="5"/>
        <v>1.0000000000000004</v>
      </c>
      <c r="AH28" s="46">
        <f t="shared" si="6"/>
        <v>0</v>
      </c>
      <c r="AI28" s="46">
        <f>COUNTIF('Score BD'!$M28:$P28,"no")</f>
        <v>0</v>
      </c>
      <c r="AJ28" s="46">
        <f t="shared" si="7"/>
        <v>0</v>
      </c>
      <c r="AK28" s="46">
        <f t="shared" si="8"/>
        <v>0</v>
      </c>
      <c r="AL28" s="46">
        <f t="shared" si="9"/>
        <v>0</v>
      </c>
      <c r="AM28" s="59" t="s">
        <v>266</v>
      </c>
      <c r="AN28" s="59"/>
      <c r="AO28" s="102"/>
      <c r="AP28" s="59"/>
      <c r="AQ28" s="59" t="str">
        <f>IFERROR(_xlfn.XLOOKUP(Tabla1[[#This Row],[Cedula agente]],Lista!$B$2:$B$97,Lista!$G$2:$G$97)," ")</f>
        <v>Luisa Fernanda Benavides Castrillon</v>
      </c>
      <c r="AR28" s="59" t="s">
        <v>162</v>
      </c>
      <c r="AS28" s="46" t="str">
        <f>IFERROR(_xlfn.XLOOKUP(Tabla1[[#This Row],[Cedula agente]],Lista!$B$2:$B$97,Lista!$F$2:$F$97)," ")</f>
        <v>John Sebastian Roncancio Avendaño</v>
      </c>
      <c r="AT28" s="99">
        <v>0.95</v>
      </c>
      <c r="AU28" s="198">
        <f>+WEEKNUM('Score BD'!$H28)-WEEKNUM(DATE(YEAR('Score BD'!$H28),MONTH('Score BD'!$H28),1))+1</f>
        <v>2</v>
      </c>
    </row>
    <row r="29" spans="1:47" s="51" customFormat="1" ht="17.45" customHeight="1" x14ac:dyDescent="0.3">
      <c r="A29" s="163" t="str">
        <f t="shared" si="10"/>
        <v>Ministerio de Educación Nacional</v>
      </c>
      <c r="B29" s="91">
        <f>+IFERROR(COUNTIF($J$3:J29,J29)," ")</f>
        <v>3</v>
      </c>
      <c r="C29" s="50" t="str">
        <f>+'Score BD'!$J29&amp;'Score BD'!$B29</f>
        <v>Ana Graciela Barbosa Villalobos3</v>
      </c>
      <c r="D29" s="91" t="s">
        <v>148</v>
      </c>
      <c r="E29" s="92" t="s">
        <v>210</v>
      </c>
      <c r="F29" s="92" t="s">
        <v>212</v>
      </c>
      <c r="G29" s="91" t="str">
        <f t="shared" si="0"/>
        <v>Noviembre</v>
      </c>
      <c r="H29" s="93">
        <v>45967</v>
      </c>
      <c r="I29" s="94">
        <v>45966</v>
      </c>
      <c r="J29" s="57" t="s">
        <v>171</v>
      </c>
      <c r="K29" s="101">
        <f>IFERROR(VLOOKUP('Score BD'!$J29,Lista!A:B,2,0)," ")</f>
        <v>1026264261</v>
      </c>
      <c r="L29" s="157" t="s">
        <v>272</v>
      </c>
      <c r="M29" s="59" t="s">
        <v>4</v>
      </c>
      <c r="N29" s="59" t="s">
        <v>4</v>
      </c>
      <c r="O29" s="59" t="s">
        <v>4</v>
      </c>
      <c r="P29" s="59" t="s">
        <v>4</v>
      </c>
      <c r="Q29" s="96">
        <f t="shared" si="1"/>
        <v>1</v>
      </c>
      <c r="R29" s="59" t="s">
        <v>4</v>
      </c>
      <c r="S29" s="59" t="s">
        <v>4</v>
      </c>
      <c r="T29" s="59" t="s">
        <v>4</v>
      </c>
      <c r="U29" s="59" t="s">
        <v>4</v>
      </c>
      <c r="V29" s="97">
        <f t="shared" si="2"/>
        <v>1</v>
      </c>
      <c r="W29" s="59" t="s">
        <v>4</v>
      </c>
      <c r="X29" s="59" t="s">
        <v>4</v>
      </c>
      <c r="Y29" s="59" t="s">
        <v>4</v>
      </c>
      <c r="Z29" s="59" t="s">
        <v>4</v>
      </c>
      <c r="AA29" s="59" t="s">
        <v>4</v>
      </c>
      <c r="AB29" s="59" t="s">
        <v>4</v>
      </c>
      <c r="AC29" s="97">
        <f t="shared" si="3"/>
        <v>1.000000000000002</v>
      </c>
      <c r="AD29" s="59" t="s">
        <v>4</v>
      </c>
      <c r="AE29" s="59" t="s">
        <v>4</v>
      </c>
      <c r="AF29" s="97">
        <f t="shared" si="4"/>
        <v>1</v>
      </c>
      <c r="AG29" s="44">
        <f t="shared" si="5"/>
        <v>1.0000000000000004</v>
      </c>
      <c r="AH29" s="46">
        <f t="shared" si="6"/>
        <v>0</v>
      </c>
      <c r="AI29" s="46">
        <f>COUNTIF('Score BD'!$M29:$P29,"no")</f>
        <v>0</v>
      </c>
      <c r="AJ29" s="46">
        <f t="shared" si="7"/>
        <v>0</v>
      </c>
      <c r="AK29" s="46">
        <f t="shared" si="8"/>
        <v>0</v>
      </c>
      <c r="AL29" s="46">
        <f t="shared" si="9"/>
        <v>0</v>
      </c>
      <c r="AM29" s="59" t="s">
        <v>355</v>
      </c>
      <c r="AN29" s="59"/>
      <c r="AO29" s="102"/>
      <c r="AP29" s="59"/>
      <c r="AQ29" s="59" t="str">
        <f>IFERROR(_xlfn.XLOOKUP(Tabla1[[#This Row],[Cedula agente]],Lista!$B$2:$B$97,Lista!$G$2:$G$97)," ")</f>
        <v>Luisa Fernanda Benavides Castrillon</v>
      </c>
      <c r="AR29" s="59" t="s">
        <v>162</v>
      </c>
      <c r="AS29" s="46" t="str">
        <f>IFERROR(_xlfn.XLOOKUP(Tabla1[[#This Row],[Cedula agente]],Lista!$B$2:$B$97,Lista!$F$2:$F$97)," ")</f>
        <v>John Sebastian Roncancio Avendaño</v>
      </c>
      <c r="AT29" s="99">
        <v>0.95</v>
      </c>
      <c r="AU29" s="198">
        <f>+WEEKNUM('Score BD'!$H29)-WEEKNUM(DATE(YEAR('Score BD'!$H29),MONTH('Score BD'!$H29),1))+1</f>
        <v>2</v>
      </c>
    </row>
    <row r="30" spans="1:47" s="51" customFormat="1" ht="17.45" customHeight="1" x14ac:dyDescent="0.3">
      <c r="A30" s="163" t="str">
        <f t="shared" si="10"/>
        <v>Ministerio de Educación Nacional</v>
      </c>
      <c r="B30" s="91">
        <f>+IFERROR(COUNTIF($J$3:J30,J30)," ")</f>
        <v>4</v>
      </c>
      <c r="C30" s="50" t="str">
        <f>+'Score BD'!$J30&amp;'Score BD'!$B30</f>
        <v>Ana Graciela Barbosa Villalobos4</v>
      </c>
      <c r="D30" s="91" t="s">
        <v>148</v>
      </c>
      <c r="E30" s="92" t="s">
        <v>210</v>
      </c>
      <c r="F30" s="92" t="s">
        <v>212</v>
      </c>
      <c r="G30" s="50" t="str">
        <f t="shared" si="0"/>
        <v>Noviembre</v>
      </c>
      <c r="H30" s="93">
        <v>45967</v>
      </c>
      <c r="I30" s="155">
        <v>45966</v>
      </c>
      <c r="J30" s="57" t="s">
        <v>171</v>
      </c>
      <c r="K30" s="101">
        <f>IFERROR(VLOOKUP('Score BD'!$J30,Lista!A:B,2,0)," ")</f>
        <v>1026264261</v>
      </c>
      <c r="L30" s="61" t="s">
        <v>273</v>
      </c>
      <c r="M30" s="59" t="s">
        <v>4</v>
      </c>
      <c r="N30" s="59" t="s">
        <v>4</v>
      </c>
      <c r="O30" s="59" t="s">
        <v>4</v>
      </c>
      <c r="P30" s="59" t="s">
        <v>4</v>
      </c>
      <c r="Q30" s="96">
        <f t="shared" si="1"/>
        <v>1</v>
      </c>
      <c r="R30" s="59" t="s">
        <v>4</v>
      </c>
      <c r="S30" s="59" t="s">
        <v>4</v>
      </c>
      <c r="T30" s="59" t="s">
        <v>4</v>
      </c>
      <c r="U30" s="59" t="s">
        <v>4</v>
      </c>
      <c r="V30" s="45">
        <f t="shared" si="2"/>
        <v>1</v>
      </c>
      <c r="W30" s="59" t="s">
        <v>4</v>
      </c>
      <c r="X30" s="59" t="s">
        <v>4</v>
      </c>
      <c r="Y30" s="59" t="s">
        <v>4</v>
      </c>
      <c r="Z30" s="59" t="s">
        <v>4</v>
      </c>
      <c r="AA30" s="59" t="s">
        <v>4</v>
      </c>
      <c r="AB30" s="59" t="s">
        <v>4</v>
      </c>
      <c r="AC30" s="45">
        <f t="shared" si="3"/>
        <v>1.000000000000002</v>
      </c>
      <c r="AD30" s="59" t="s">
        <v>4</v>
      </c>
      <c r="AE30" s="59" t="s">
        <v>4</v>
      </c>
      <c r="AF30" s="97">
        <f t="shared" si="4"/>
        <v>1</v>
      </c>
      <c r="AG30" s="44">
        <f t="shared" si="5"/>
        <v>1.0000000000000004</v>
      </c>
      <c r="AH30" s="46">
        <f t="shared" si="6"/>
        <v>0</v>
      </c>
      <c r="AI30" s="46">
        <f>COUNTIF('Score BD'!$M30:$P30,"no")</f>
        <v>0</v>
      </c>
      <c r="AJ30" s="46">
        <f t="shared" si="7"/>
        <v>0</v>
      </c>
      <c r="AK30" s="46">
        <f t="shared" si="8"/>
        <v>0</v>
      </c>
      <c r="AL30" s="46">
        <f t="shared" si="9"/>
        <v>0</v>
      </c>
      <c r="AM30" s="59" t="s">
        <v>355</v>
      </c>
      <c r="AN30" s="46"/>
      <c r="AO30" s="43"/>
      <c r="AP30" s="43"/>
      <c r="AQ30" s="59" t="str">
        <f>IFERROR(_xlfn.XLOOKUP(Tabla1[[#This Row],[Cedula agente]],Lista!$B$2:$B$97,Lista!$G$2:$G$97)," ")</f>
        <v>Luisa Fernanda Benavides Castrillon</v>
      </c>
      <c r="AR30" s="59" t="s">
        <v>162</v>
      </c>
      <c r="AS30" s="46" t="str">
        <f>IFERROR(_xlfn.XLOOKUP(Tabla1[[#This Row],[Cedula agente]],Lista!$B$2:$B$97,Lista!$F$2:$F$97)," ")</f>
        <v>John Sebastian Roncancio Avendaño</v>
      </c>
      <c r="AT30" s="99">
        <v>0.95</v>
      </c>
      <c r="AU30" s="198">
        <f>+WEEKNUM('Score BD'!$H30)-WEEKNUM(DATE(YEAR('Score BD'!$H30),MONTH('Score BD'!$H30),1))+1</f>
        <v>2</v>
      </c>
    </row>
    <row r="31" spans="1:47" s="51" customFormat="1" ht="17.45" customHeight="1" x14ac:dyDescent="0.3">
      <c r="A31" s="163" t="str">
        <f t="shared" si="10"/>
        <v>Ministerio de Educación Nacional</v>
      </c>
      <c r="B31" s="91">
        <f>+IFERROR(COUNTIF($J$3:J31,J31)," ")</f>
        <v>5</v>
      </c>
      <c r="C31" s="50" t="str">
        <f>+'Score BD'!$J31&amp;'Score BD'!$B31</f>
        <v>Ana Graciela Barbosa Villalobos5</v>
      </c>
      <c r="D31" s="91" t="s">
        <v>148</v>
      </c>
      <c r="E31" s="92" t="s">
        <v>210</v>
      </c>
      <c r="F31" s="92" t="s">
        <v>212</v>
      </c>
      <c r="G31" s="50" t="str">
        <f t="shared" si="0"/>
        <v>Noviembre</v>
      </c>
      <c r="H31" s="93">
        <v>45967</v>
      </c>
      <c r="I31" s="155">
        <v>45966</v>
      </c>
      <c r="J31" s="57" t="s">
        <v>171</v>
      </c>
      <c r="K31" s="101">
        <f>IFERROR(VLOOKUP('Score BD'!$J31,Lista!A:B,2,0)," ")</f>
        <v>1026264261</v>
      </c>
      <c r="L31" s="61" t="s">
        <v>274</v>
      </c>
      <c r="M31" s="59" t="s">
        <v>4</v>
      </c>
      <c r="N31" s="59" t="s">
        <v>4</v>
      </c>
      <c r="O31" s="59" t="s">
        <v>4</v>
      </c>
      <c r="P31" s="59" t="s">
        <v>4</v>
      </c>
      <c r="Q31" s="96">
        <f t="shared" si="1"/>
        <v>1</v>
      </c>
      <c r="R31" s="59" t="s">
        <v>4</v>
      </c>
      <c r="S31" s="59" t="s">
        <v>4</v>
      </c>
      <c r="T31" s="59" t="s">
        <v>4</v>
      </c>
      <c r="U31" s="59" t="s">
        <v>4</v>
      </c>
      <c r="V31" s="45">
        <f t="shared" si="2"/>
        <v>1</v>
      </c>
      <c r="W31" s="59" t="s">
        <v>4</v>
      </c>
      <c r="X31" s="59" t="s">
        <v>4</v>
      </c>
      <c r="Y31" s="59" t="s">
        <v>4</v>
      </c>
      <c r="Z31" s="59" t="s">
        <v>4</v>
      </c>
      <c r="AA31" s="59" t="s">
        <v>4</v>
      </c>
      <c r="AB31" s="59" t="s">
        <v>4</v>
      </c>
      <c r="AC31" s="45">
        <f t="shared" si="3"/>
        <v>1.000000000000002</v>
      </c>
      <c r="AD31" s="59" t="s">
        <v>4</v>
      </c>
      <c r="AE31" s="59" t="s">
        <v>4</v>
      </c>
      <c r="AF31" s="97">
        <f t="shared" si="4"/>
        <v>1</v>
      </c>
      <c r="AG31" s="44">
        <f t="shared" si="5"/>
        <v>1.0000000000000004</v>
      </c>
      <c r="AH31" s="46">
        <f t="shared" si="6"/>
        <v>0</v>
      </c>
      <c r="AI31" s="46">
        <f>COUNTIF('Score BD'!$M31:$P31,"no")</f>
        <v>0</v>
      </c>
      <c r="AJ31" s="46">
        <f t="shared" si="7"/>
        <v>0</v>
      </c>
      <c r="AK31" s="46">
        <f t="shared" si="8"/>
        <v>0</v>
      </c>
      <c r="AL31" s="46">
        <f t="shared" si="9"/>
        <v>0</v>
      </c>
      <c r="AM31" s="59" t="s">
        <v>355</v>
      </c>
      <c r="AN31" s="46"/>
      <c r="AO31" s="43"/>
      <c r="AP31" s="43"/>
      <c r="AQ31" s="59" t="str">
        <f>IFERROR(_xlfn.XLOOKUP(Tabla1[[#This Row],[Cedula agente]],Lista!$B$2:$B$97,Lista!$G$2:$G$97)," ")</f>
        <v>Luisa Fernanda Benavides Castrillon</v>
      </c>
      <c r="AR31" s="59" t="s">
        <v>162</v>
      </c>
      <c r="AS31" s="46" t="str">
        <f>IFERROR(_xlfn.XLOOKUP(Tabla1[[#This Row],[Cedula agente]],Lista!$B$2:$B$97,Lista!$F$2:$F$97)," ")</f>
        <v>John Sebastian Roncancio Avendaño</v>
      </c>
      <c r="AT31" s="99">
        <v>0.95</v>
      </c>
      <c r="AU31" s="198">
        <f>+WEEKNUM('Score BD'!$H31)-WEEKNUM(DATE(YEAR('Score BD'!$H31),MONTH('Score BD'!$H31),1))+1</f>
        <v>2</v>
      </c>
    </row>
    <row r="32" spans="1:47" ht="17.45" customHeight="1" x14ac:dyDescent="0.3">
      <c r="A32" s="163" t="str">
        <f t="shared" si="10"/>
        <v>Ministerio de Educación Nacional</v>
      </c>
      <c r="B32" s="91">
        <f>+IFERROR(COUNTIF($J$3:J32,J32)," ")</f>
        <v>1</v>
      </c>
      <c r="C32" s="54" t="str">
        <f>+'Score BD'!$J32&amp;'Score BD'!$B32</f>
        <v>Andrés Felipe Silva Martínez1</v>
      </c>
      <c r="D32" s="91" t="s">
        <v>148</v>
      </c>
      <c r="E32" s="92" t="s">
        <v>208</v>
      </c>
      <c r="F32" s="92" t="s">
        <v>212</v>
      </c>
      <c r="G32" s="54" t="str">
        <f t="shared" si="0"/>
        <v>Noviembre</v>
      </c>
      <c r="H32" s="93">
        <v>45967</v>
      </c>
      <c r="I32" s="155">
        <v>45966</v>
      </c>
      <c r="J32" s="57" t="s">
        <v>228</v>
      </c>
      <c r="K32" s="101">
        <f>IFERROR(VLOOKUP('Score BD'!$J32,Lista!A:B,2,0)," ")</f>
        <v>1120362660</v>
      </c>
      <c r="L32" s="61" t="s">
        <v>275</v>
      </c>
      <c r="M32" s="59" t="s">
        <v>4</v>
      </c>
      <c r="N32" s="59" t="s">
        <v>4</v>
      </c>
      <c r="O32" s="59" t="s">
        <v>4</v>
      </c>
      <c r="P32" s="59" t="s">
        <v>4</v>
      </c>
      <c r="Q32" s="96">
        <f t="shared" si="1"/>
        <v>1</v>
      </c>
      <c r="R32" s="59" t="s">
        <v>4</v>
      </c>
      <c r="S32" s="59" t="s">
        <v>4</v>
      </c>
      <c r="T32" s="59" t="s">
        <v>4</v>
      </c>
      <c r="U32" s="59" t="s">
        <v>4</v>
      </c>
      <c r="V32" s="45">
        <f t="shared" si="2"/>
        <v>1</v>
      </c>
      <c r="W32" s="59" t="s">
        <v>4</v>
      </c>
      <c r="X32" s="59" t="s">
        <v>4</v>
      </c>
      <c r="Y32" s="59" t="s">
        <v>4</v>
      </c>
      <c r="Z32" s="59" t="s">
        <v>4</v>
      </c>
      <c r="AA32" s="59" t="s">
        <v>4</v>
      </c>
      <c r="AB32" s="59" t="s">
        <v>4</v>
      </c>
      <c r="AC32" s="45">
        <f t="shared" si="3"/>
        <v>1.000000000000002</v>
      </c>
      <c r="AD32" s="59" t="s">
        <v>4</v>
      </c>
      <c r="AE32" s="59" t="s">
        <v>4</v>
      </c>
      <c r="AF32" s="97">
        <f t="shared" si="4"/>
        <v>1</v>
      </c>
      <c r="AG32" s="44">
        <f t="shared" si="5"/>
        <v>1.0000000000000004</v>
      </c>
      <c r="AH32" s="46">
        <f t="shared" si="6"/>
        <v>0</v>
      </c>
      <c r="AI32" s="46">
        <f>COUNTIF('Score BD'!$M32:$P32,"no")</f>
        <v>0</v>
      </c>
      <c r="AJ32" s="46">
        <f t="shared" si="7"/>
        <v>0</v>
      </c>
      <c r="AK32" s="46">
        <f t="shared" si="8"/>
        <v>0</v>
      </c>
      <c r="AL32" s="46">
        <f t="shared" si="9"/>
        <v>0</v>
      </c>
      <c r="AM32" s="59" t="s">
        <v>355</v>
      </c>
      <c r="AN32" s="46"/>
      <c r="AO32" s="43"/>
      <c r="AP32" s="43"/>
      <c r="AQ32" s="59" t="str">
        <f>IFERROR(_xlfn.XLOOKUP(Tabla1[[#This Row],[Cedula agente]],Lista!$B$2:$B$97,Lista!$G$2:$G$97)," ")</f>
        <v>Luisa Fernanda Benavides Castrillon</v>
      </c>
      <c r="AR32" s="59" t="s">
        <v>162</v>
      </c>
      <c r="AS32" s="46" t="str">
        <f>IFERROR(_xlfn.XLOOKUP(Tabla1[[#This Row],[Cedula agente]],Lista!$B$2:$B$97,Lista!$F$2:$F$97)," ")</f>
        <v>John Sebastian Roncancio Avendaño</v>
      </c>
      <c r="AT32" s="99">
        <v>0.95</v>
      </c>
      <c r="AU32" s="198">
        <f>+WEEKNUM('Score BD'!$H32)-WEEKNUM(DATE(YEAR('Score BD'!$H32),MONTH('Score BD'!$H32),1))+1</f>
        <v>2</v>
      </c>
    </row>
    <row r="33" spans="1:47" ht="17.45" customHeight="1" x14ac:dyDescent="0.3">
      <c r="A33" s="163" t="str">
        <f t="shared" si="10"/>
        <v>Ministerio de Educación Nacional</v>
      </c>
      <c r="B33" s="91">
        <f>+IFERROR(COUNTIF($J$3:J33,J33)," ")</f>
        <v>2</v>
      </c>
      <c r="C33" s="54" t="str">
        <f>+'Score BD'!$J33&amp;'Score BD'!$B33</f>
        <v>Cesar Rodrigo García2</v>
      </c>
      <c r="D33" s="91" t="s">
        <v>148</v>
      </c>
      <c r="E33" s="92" t="s">
        <v>165</v>
      </c>
      <c r="F33" s="92" t="s">
        <v>212</v>
      </c>
      <c r="G33" s="60" t="str">
        <f t="shared" si="0"/>
        <v>Noviembre</v>
      </c>
      <c r="H33" s="93">
        <v>45967</v>
      </c>
      <c r="I33" s="155">
        <v>45966</v>
      </c>
      <c r="J33" s="57" t="s">
        <v>172</v>
      </c>
      <c r="K33" s="101">
        <f>IFERROR(VLOOKUP('Score BD'!$J33,Lista!A:B,2,0)," ")</f>
        <v>1069257937</v>
      </c>
      <c r="L33" s="61" t="s">
        <v>276</v>
      </c>
      <c r="M33" s="59" t="s">
        <v>4</v>
      </c>
      <c r="N33" s="59" t="s">
        <v>4</v>
      </c>
      <c r="O33" s="59" t="s">
        <v>4</v>
      </c>
      <c r="P33" s="59" t="s">
        <v>4</v>
      </c>
      <c r="Q33" s="96">
        <f t="shared" si="1"/>
        <v>1</v>
      </c>
      <c r="R33" s="59" t="s">
        <v>4</v>
      </c>
      <c r="S33" s="59" t="s">
        <v>4</v>
      </c>
      <c r="T33" s="59" t="s">
        <v>4</v>
      </c>
      <c r="U33" s="59" t="s">
        <v>4</v>
      </c>
      <c r="V33" s="45">
        <f t="shared" si="2"/>
        <v>1</v>
      </c>
      <c r="W33" s="59" t="s">
        <v>4</v>
      </c>
      <c r="X33" s="59" t="s">
        <v>4</v>
      </c>
      <c r="Y33" s="59" t="s">
        <v>4</v>
      </c>
      <c r="Z33" s="59" t="s">
        <v>4</v>
      </c>
      <c r="AA33" s="59" t="s">
        <v>4</v>
      </c>
      <c r="AB33" s="59" t="s">
        <v>4</v>
      </c>
      <c r="AC33" s="45">
        <f t="shared" si="3"/>
        <v>1.000000000000002</v>
      </c>
      <c r="AD33" s="59" t="s">
        <v>4</v>
      </c>
      <c r="AE33" s="59" t="s">
        <v>4</v>
      </c>
      <c r="AF33" s="97">
        <f t="shared" si="4"/>
        <v>1</v>
      </c>
      <c r="AG33" s="44">
        <f t="shared" si="5"/>
        <v>1.0000000000000004</v>
      </c>
      <c r="AH33" s="55">
        <f t="shared" si="6"/>
        <v>0</v>
      </c>
      <c r="AI33" s="55">
        <f>COUNTIF('Score BD'!$M33:$P33,"no")</f>
        <v>0</v>
      </c>
      <c r="AJ33" s="55">
        <f t="shared" si="7"/>
        <v>0</v>
      </c>
      <c r="AK33" s="55">
        <f t="shared" si="8"/>
        <v>0</v>
      </c>
      <c r="AL33" s="55">
        <f t="shared" si="9"/>
        <v>0</v>
      </c>
      <c r="AM33" s="59" t="s">
        <v>355</v>
      </c>
      <c r="AN33" s="46"/>
      <c r="AO33" s="43"/>
      <c r="AP33" s="43"/>
      <c r="AQ33" s="59" t="str">
        <f>IFERROR(_xlfn.XLOOKUP(Tabla1[[#This Row],[Cedula agente]],Lista!$B$2:$B$97,Lista!$G$2:$G$97)," ")</f>
        <v>Luisa Fernanda Benavides Castrillon</v>
      </c>
      <c r="AR33" s="59" t="s">
        <v>162</v>
      </c>
      <c r="AS33" s="55" t="str">
        <f>IFERROR(_xlfn.XLOOKUP(Tabla1[[#This Row],[Cedula agente]],Lista!$B$2:$B$97,Lista!$F$2:$F$97)," ")</f>
        <v>John Sebastian Roncancio Avendaño</v>
      </c>
      <c r="AT33" s="99">
        <v>0.95</v>
      </c>
      <c r="AU33" s="198">
        <f>+WEEKNUM('Score BD'!$H33)-WEEKNUM(DATE(YEAR('Score BD'!$H33),MONTH('Score BD'!$H33),1))+1</f>
        <v>2</v>
      </c>
    </row>
    <row r="34" spans="1:47" ht="17.45" customHeight="1" x14ac:dyDescent="0.3">
      <c r="A34" s="163" t="str">
        <f t="shared" si="10"/>
        <v>Ministerio de Educación Nacional</v>
      </c>
      <c r="B34" s="91">
        <f>+IFERROR(COUNTIF($J$3:J34,J34)," ")</f>
        <v>2</v>
      </c>
      <c r="C34" s="54" t="str">
        <f>+'Score BD'!$J34&amp;'Score BD'!$B34</f>
        <v>Cristian Enrique Benitez Rodriguez2</v>
      </c>
      <c r="D34" s="91" t="s">
        <v>148</v>
      </c>
      <c r="E34" s="92" t="s">
        <v>165</v>
      </c>
      <c r="F34" s="92" t="s">
        <v>212</v>
      </c>
      <c r="G34" s="60" t="str">
        <f t="shared" si="0"/>
        <v>Noviembre</v>
      </c>
      <c r="H34" s="93">
        <v>45967</v>
      </c>
      <c r="I34" s="155">
        <v>45966</v>
      </c>
      <c r="J34" s="57" t="s">
        <v>173</v>
      </c>
      <c r="K34" s="101">
        <f>IFERROR(VLOOKUP('Score BD'!$J34,Lista!A:B,2,0)," ")</f>
        <v>1026574814</v>
      </c>
      <c r="L34" s="61" t="s">
        <v>277</v>
      </c>
      <c r="M34" s="59" t="s">
        <v>4</v>
      </c>
      <c r="N34" s="59" t="s">
        <v>4</v>
      </c>
      <c r="O34" s="59" t="s">
        <v>4</v>
      </c>
      <c r="P34" s="59" t="s">
        <v>4</v>
      </c>
      <c r="Q34" s="96">
        <f t="shared" si="1"/>
        <v>1</v>
      </c>
      <c r="R34" s="59" t="s">
        <v>4</v>
      </c>
      <c r="S34" s="59" t="s">
        <v>4</v>
      </c>
      <c r="T34" s="59" t="s">
        <v>4</v>
      </c>
      <c r="U34" s="59" t="s">
        <v>4</v>
      </c>
      <c r="V34" s="45">
        <f t="shared" si="2"/>
        <v>1</v>
      </c>
      <c r="W34" s="59" t="s">
        <v>4</v>
      </c>
      <c r="X34" s="59" t="s">
        <v>4</v>
      </c>
      <c r="Y34" s="59" t="s">
        <v>4</v>
      </c>
      <c r="Z34" s="59" t="s">
        <v>4</v>
      </c>
      <c r="AA34" s="59" t="s">
        <v>4</v>
      </c>
      <c r="AB34" s="59" t="s">
        <v>4</v>
      </c>
      <c r="AC34" s="45">
        <f t="shared" si="3"/>
        <v>1.000000000000002</v>
      </c>
      <c r="AD34" s="59" t="s">
        <v>4</v>
      </c>
      <c r="AE34" s="59" t="s">
        <v>4</v>
      </c>
      <c r="AF34" s="97">
        <f t="shared" si="4"/>
        <v>1</v>
      </c>
      <c r="AG34" s="44">
        <f t="shared" si="5"/>
        <v>1.0000000000000004</v>
      </c>
      <c r="AH34" s="55">
        <f t="shared" si="6"/>
        <v>0</v>
      </c>
      <c r="AI34" s="55">
        <f>COUNTIF('Score BD'!$M34:$P34,"no")</f>
        <v>0</v>
      </c>
      <c r="AJ34" s="55">
        <f t="shared" si="7"/>
        <v>0</v>
      </c>
      <c r="AK34" s="55">
        <f t="shared" si="8"/>
        <v>0</v>
      </c>
      <c r="AL34" s="55">
        <f t="shared" si="9"/>
        <v>0</v>
      </c>
      <c r="AM34" s="59" t="s">
        <v>355</v>
      </c>
      <c r="AN34" s="46"/>
      <c r="AO34" s="43"/>
      <c r="AP34" s="43"/>
      <c r="AQ34" s="59" t="str">
        <f>IFERROR(_xlfn.XLOOKUP(Tabla1[[#This Row],[Cedula agente]],Lista!$B$2:$B$97,Lista!$G$2:$G$97)," ")</f>
        <v>Luisa Fernanda Benavides Castrillon</v>
      </c>
      <c r="AR34" s="59" t="s">
        <v>162</v>
      </c>
      <c r="AS34" s="55" t="str">
        <f>IFERROR(_xlfn.XLOOKUP(Tabla1[[#This Row],[Cedula agente]],Lista!$B$2:$B$97,Lista!$F$2:$F$97)," ")</f>
        <v>John Sebastian Roncancio Avendaño</v>
      </c>
      <c r="AT34" s="99">
        <v>0.95</v>
      </c>
      <c r="AU34" s="200">
        <f>+WEEKNUM('Score BD'!$H34)-WEEKNUM(DATE(YEAR('Score BD'!$H34),MONTH('Score BD'!$H34),1))+1</f>
        <v>2</v>
      </c>
    </row>
    <row r="35" spans="1:47" ht="17.45" customHeight="1" x14ac:dyDescent="0.3">
      <c r="A35" s="163" t="str">
        <f t="shared" si="10"/>
        <v>Ministerio de Educación Nacional</v>
      </c>
      <c r="B35" s="91">
        <f>+IFERROR(COUNTIF($J$3:J35,J35)," ")</f>
        <v>1</v>
      </c>
      <c r="C35" s="54" t="str">
        <f>+'Score BD'!$J35&amp;'Score BD'!$B35</f>
        <v>Daniela Murillo Solano1</v>
      </c>
      <c r="D35" s="91" t="s">
        <v>148</v>
      </c>
      <c r="E35" s="92" t="s">
        <v>211</v>
      </c>
      <c r="F35" s="92" t="s">
        <v>212</v>
      </c>
      <c r="G35" s="60" t="str">
        <f t="shared" si="0"/>
        <v>Noviembre</v>
      </c>
      <c r="H35" s="93">
        <v>45967</v>
      </c>
      <c r="I35" s="155">
        <v>45966</v>
      </c>
      <c r="J35" s="57" t="s">
        <v>203</v>
      </c>
      <c r="K35" s="54">
        <f>IFERROR(VLOOKUP('Score BD'!$J35,Lista!A:B,2,0)," ")</f>
        <v>1234194276</v>
      </c>
      <c r="L35" s="61" t="s">
        <v>278</v>
      </c>
      <c r="M35" s="59" t="s">
        <v>4</v>
      </c>
      <c r="N35" s="59" t="s">
        <v>4</v>
      </c>
      <c r="O35" s="59" t="s">
        <v>4</v>
      </c>
      <c r="P35" s="59" t="s">
        <v>4</v>
      </c>
      <c r="Q35" s="96">
        <f t="shared" si="1"/>
        <v>1</v>
      </c>
      <c r="R35" s="59" t="s">
        <v>4</v>
      </c>
      <c r="S35" s="59" t="s">
        <v>4</v>
      </c>
      <c r="T35" s="59" t="s">
        <v>4</v>
      </c>
      <c r="U35" s="59" t="s">
        <v>4</v>
      </c>
      <c r="V35" s="45">
        <f t="shared" si="2"/>
        <v>1</v>
      </c>
      <c r="W35" s="59" t="s">
        <v>4</v>
      </c>
      <c r="X35" s="59" t="s">
        <v>4</v>
      </c>
      <c r="Y35" s="59" t="s">
        <v>4</v>
      </c>
      <c r="Z35" s="59" t="s">
        <v>4</v>
      </c>
      <c r="AA35" s="59" t="s">
        <v>4</v>
      </c>
      <c r="AB35" s="59" t="s">
        <v>4</v>
      </c>
      <c r="AC35" s="45">
        <f t="shared" si="3"/>
        <v>1.000000000000002</v>
      </c>
      <c r="AD35" s="59" t="s">
        <v>4</v>
      </c>
      <c r="AE35" s="59" t="s">
        <v>4</v>
      </c>
      <c r="AF35" s="97">
        <f t="shared" si="4"/>
        <v>1</v>
      </c>
      <c r="AG35" s="44">
        <f t="shared" si="5"/>
        <v>1.0000000000000004</v>
      </c>
      <c r="AH35" s="55">
        <f t="shared" si="6"/>
        <v>0</v>
      </c>
      <c r="AI35" s="55">
        <f>COUNTIF('Score BD'!$M35:$P35,"no")</f>
        <v>0</v>
      </c>
      <c r="AJ35" s="55">
        <f t="shared" si="7"/>
        <v>0</v>
      </c>
      <c r="AK35" s="55">
        <f t="shared" si="8"/>
        <v>0</v>
      </c>
      <c r="AL35" s="55">
        <f t="shared" si="9"/>
        <v>0</v>
      </c>
      <c r="AM35" s="59" t="s">
        <v>355</v>
      </c>
      <c r="AN35" s="46"/>
      <c r="AO35" s="43"/>
      <c r="AP35" s="43"/>
      <c r="AQ35" s="59" t="str">
        <f>IFERROR(_xlfn.XLOOKUP(Tabla1[[#This Row],[Cedula agente]],Lista!$B$2:$B$97,Lista!$G$2:$G$97)," ")</f>
        <v>Luisa Fernanda Benavides Castrillon</v>
      </c>
      <c r="AR35" s="59" t="s">
        <v>162</v>
      </c>
      <c r="AS35" s="55" t="str">
        <f>IFERROR(_xlfn.XLOOKUP(Tabla1[[#This Row],[Cedula agente]],Lista!$B$2:$B$97,Lista!$F$2:$F$97)," ")</f>
        <v>John Sebastian Roncancio Avendaño</v>
      </c>
      <c r="AT35" s="99">
        <v>0.95</v>
      </c>
      <c r="AU35" s="200">
        <f>+WEEKNUM('Score BD'!$H35)-WEEKNUM(DATE(YEAR('Score BD'!$H35),MONTH('Score BD'!$H35),1))+1</f>
        <v>2</v>
      </c>
    </row>
    <row r="36" spans="1:47" ht="17.45" customHeight="1" x14ac:dyDescent="0.3">
      <c r="A36" s="163" t="str">
        <f t="shared" si="10"/>
        <v>Ministerio de Educación Nacional</v>
      </c>
      <c r="B36" s="91">
        <f>+IFERROR(COUNTIF($J$3:J36,J36)," ")</f>
        <v>3</v>
      </c>
      <c r="C36" s="54" t="str">
        <f>+'Score BD'!$J36&amp;'Score BD'!$B36</f>
        <v>Erika Natalia Ramírez Herrera3</v>
      </c>
      <c r="D36" s="91" t="s">
        <v>148</v>
      </c>
      <c r="E36" s="92" t="s">
        <v>164</v>
      </c>
      <c r="F36" s="92" t="s">
        <v>212</v>
      </c>
      <c r="G36" s="60" t="str">
        <f t="shared" si="0"/>
        <v>Noviembre</v>
      </c>
      <c r="H36" s="93">
        <v>45967</v>
      </c>
      <c r="I36" s="155">
        <v>45966</v>
      </c>
      <c r="J36" s="57" t="s">
        <v>174</v>
      </c>
      <c r="K36" s="54">
        <f>IFERROR(VLOOKUP('Score BD'!$J36,Lista!A:B,2,0)," ")</f>
        <v>1032367072</v>
      </c>
      <c r="L36" s="63" t="s">
        <v>279</v>
      </c>
      <c r="M36" s="59" t="s">
        <v>4</v>
      </c>
      <c r="N36" s="59" t="s">
        <v>4</v>
      </c>
      <c r="O36" s="59" t="s">
        <v>4</v>
      </c>
      <c r="P36" s="59" t="s">
        <v>4</v>
      </c>
      <c r="Q36" s="96">
        <f t="shared" si="1"/>
        <v>1</v>
      </c>
      <c r="R36" s="59" t="s">
        <v>4</v>
      </c>
      <c r="S36" s="59" t="s">
        <v>4</v>
      </c>
      <c r="T36" s="59" t="s">
        <v>4</v>
      </c>
      <c r="U36" s="59" t="s">
        <v>4</v>
      </c>
      <c r="V36" s="45">
        <f t="shared" si="2"/>
        <v>1</v>
      </c>
      <c r="W36" s="59" t="s">
        <v>4</v>
      </c>
      <c r="X36" s="59" t="s">
        <v>4</v>
      </c>
      <c r="Y36" s="59" t="s">
        <v>4</v>
      </c>
      <c r="Z36" s="59" t="s">
        <v>4</v>
      </c>
      <c r="AA36" s="59" t="s">
        <v>4</v>
      </c>
      <c r="AB36" s="59" t="s">
        <v>4</v>
      </c>
      <c r="AC36" s="45">
        <f t="shared" si="3"/>
        <v>1.000000000000002</v>
      </c>
      <c r="AD36" s="59" t="s">
        <v>4</v>
      </c>
      <c r="AE36" s="59" t="s">
        <v>4</v>
      </c>
      <c r="AF36" s="97">
        <f t="shared" si="4"/>
        <v>1</v>
      </c>
      <c r="AG36" s="44">
        <f t="shared" si="5"/>
        <v>1.0000000000000004</v>
      </c>
      <c r="AH36" s="55">
        <f t="shared" si="6"/>
        <v>0</v>
      </c>
      <c r="AI36" s="55">
        <f>COUNTIF('Score BD'!$M36:$P36,"no")</f>
        <v>0</v>
      </c>
      <c r="AJ36" s="55">
        <f t="shared" si="7"/>
        <v>0</v>
      </c>
      <c r="AK36" s="55">
        <f t="shared" si="8"/>
        <v>0</v>
      </c>
      <c r="AL36" s="64">
        <f t="shared" si="9"/>
        <v>0</v>
      </c>
      <c r="AM36" s="59" t="s">
        <v>355</v>
      </c>
      <c r="AN36" s="46"/>
      <c r="AO36" s="43"/>
      <c r="AP36" s="43"/>
      <c r="AQ36" s="59" t="str">
        <f>IFERROR(_xlfn.XLOOKUP(Tabla1[[#This Row],[Cedula agente]],Lista!$B$2:$B$97,Lista!$G$2:$G$97)," ")</f>
        <v>Luisa Fernanda Benavides Castrillon</v>
      </c>
      <c r="AR36" s="59" t="s">
        <v>162</v>
      </c>
      <c r="AS36" s="55" t="str">
        <f>IFERROR(_xlfn.XLOOKUP(Tabla1[[#This Row],[Cedula agente]],Lista!$B$2:$B$97,Lista!$F$2:$F$97)," ")</f>
        <v>John Sebastian Roncancio Avendaño</v>
      </c>
      <c r="AT36" s="99">
        <v>0.95</v>
      </c>
      <c r="AU36" s="200">
        <f>+WEEKNUM('Score BD'!$H36)-WEEKNUM(DATE(YEAR('Score BD'!$H36),MONTH('Score BD'!$H36),1))+1</f>
        <v>2</v>
      </c>
    </row>
    <row r="37" spans="1:47" ht="17.45" customHeight="1" x14ac:dyDescent="0.3">
      <c r="A37" s="163" t="str">
        <f t="shared" si="10"/>
        <v>Ministerio de Educación Nacional</v>
      </c>
      <c r="B37" s="91">
        <f>+IFERROR(COUNTIF($J$3:J37,J37)," ")</f>
        <v>4</v>
      </c>
      <c r="C37" s="54" t="str">
        <f>+'Score BD'!$J37&amp;'Score BD'!$B37</f>
        <v>Erika Natalia Ramírez Herrera4</v>
      </c>
      <c r="D37" s="91" t="s">
        <v>148</v>
      </c>
      <c r="E37" s="92" t="s">
        <v>164</v>
      </c>
      <c r="F37" s="92" t="s">
        <v>212</v>
      </c>
      <c r="G37" s="60" t="str">
        <f t="shared" si="0"/>
        <v>Noviembre</v>
      </c>
      <c r="H37" s="93">
        <v>45967</v>
      </c>
      <c r="I37" s="155">
        <v>45966</v>
      </c>
      <c r="J37" s="57" t="s">
        <v>174</v>
      </c>
      <c r="K37" s="54">
        <f>IFERROR(VLOOKUP('Score BD'!$J37,Lista!A:B,2,0)," ")</f>
        <v>1032367072</v>
      </c>
      <c r="L37" s="61" t="s">
        <v>280</v>
      </c>
      <c r="M37" s="59" t="s">
        <v>4</v>
      </c>
      <c r="N37" s="59" t="s">
        <v>4</v>
      </c>
      <c r="O37" s="59" t="s">
        <v>4</v>
      </c>
      <c r="P37" s="59" t="s">
        <v>4</v>
      </c>
      <c r="Q37" s="96">
        <f t="shared" si="1"/>
        <v>1</v>
      </c>
      <c r="R37" s="59" t="s">
        <v>4</v>
      </c>
      <c r="S37" s="59" t="s">
        <v>4</v>
      </c>
      <c r="T37" s="59" t="s">
        <v>4</v>
      </c>
      <c r="U37" s="59" t="s">
        <v>4</v>
      </c>
      <c r="V37" s="45">
        <f t="shared" si="2"/>
        <v>1</v>
      </c>
      <c r="W37" s="59" t="s">
        <v>4</v>
      </c>
      <c r="X37" s="59" t="s">
        <v>4</v>
      </c>
      <c r="Y37" s="59" t="s">
        <v>4</v>
      </c>
      <c r="Z37" s="59" t="s">
        <v>4</v>
      </c>
      <c r="AA37" s="59" t="s">
        <v>4</v>
      </c>
      <c r="AB37" s="59" t="s">
        <v>4</v>
      </c>
      <c r="AC37" s="45">
        <f t="shared" si="3"/>
        <v>1.000000000000002</v>
      </c>
      <c r="AD37" s="59" t="s">
        <v>4</v>
      </c>
      <c r="AE37" s="59" t="s">
        <v>4</v>
      </c>
      <c r="AF37" s="97">
        <f t="shared" si="4"/>
        <v>1</v>
      </c>
      <c r="AG37" s="44">
        <f t="shared" si="5"/>
        <v>1.0000000000000004</v>
      </c>
      <c r="AH37" s="55">
        <f t="shared" si="6"/>
        <v>0</v>
      </c>
      <c r="AI37" s="55">
        <f>COUNTIF('Score BD'!$M37:$P37,"no")</f>
        <v>0</v>
      </c>
      <c r="AJ37" s="55">
        <f t="shared" si="7"/>
        <v>0</v>
      </c>
      <c r="AK37" s="55">
        <f t="shared" si="8"/>
        <v>0</v>
      </c>
      <c r="AL37" s="55">
        <f t="shared" si="9"/>
        <v>0</v>
      </c>
      <c r="AM37" s="59" t="s">
        <v>355</v>
      </c>
      <c r="AN37" s="46"/>
      <c r="AO37" s="43"/>
      <c r="AP37" s="43"/>
      <c r="AQ37" s="59" t="str">
        <f>IFERROR(_xlfn.XLOOKUP(Tabla1[[#This Row],[Cedula agente]],Lista!$B$2:$B$97,Lista!$G$2:$G$97)," ")</f>
        <v>Luisa Fernanda Benavides Castrillon</v>
      </c>
      <c r="AR37" s="59" t="s">
        <v>162</v>
      </c>
      <c r="AS37" s="55" t="str">
        <f>IFERROR(_xlfn.XLOOKUP(Tabla1[[#This Row],[Cedula agente]],Lista!$B$2:$B$97,Lista!$F$2:$F$97)," ")</f>
        <v>John Sebastian Roncancio Avendaño</v>
      </c>
      <c r="AT37" s="99">
        <v>0.95</v>
      </c>
      <c r="AU37" s="200">
        <f>+WEEKNUM('Score BD'!$H37)-WEEKNUM(DATE(YEAR('Score BD'!$H37),MONTH('Score BD'!$H37),1))+1</f>
        <v>2</v>
      </c>
    </row>
    <row r="38" spans="1:47" ht="17.45" customHeight="1" x14ac:dyDescent="0.3">
      <c r="A38" s="163" t="str">
        <f t="shared" si="10"/>
        <v>Ministerio de Educación Nacional</v>
      </c>
      <c r="B38" s="91">
        <f>+IFERROR(COUNTIF($J$3:J38,J38)," ")</f>
        <v>3</v>
      </c>
      <c r="C38" s="54" t="str">
        <f>+'Score BD'!$J38&amp;'Score BD'!$B38</f>
        <v>Henry Eduardo Padilla Castilla3</v>
      </c>
      <c r="D38" s="91" t="s">
        <v>148</v>
      </c>
      <c r="E38" s="92" t="s">
        <v>165</v>
      </c>
      <c r="F38" s="92" t="s">
        <v>212</v>
      </c>
      <c r="G38" s="60" t="str">
        <f t="shared" si="0"/>
        <v>Noviembre</v>
      </c>
      <c r="H38" s="93">
        <v>45967</v>
      </c>
      <c r="I38" s="155">
        <v>45966</v>
      </c>
      <c r="J38" s="57" t="s">
        <v>175</v>
      </c>
      <c r="K38" s="54">
        <f>IFERROR(VLOOKUP('Score BD'!$J38,Lista!A:B,2,0)," ")</f>
        <v>1063968280</v>
      </c>
      <c r="L38" s="61" t="s">
        <v>281</v>
      </c>
      <c r="M38" s="59" t="s">
        <v>4</v>
      </c>
      <c r="N38" s="59" t="s">
        <v>4</v>
      </c>
      <c r="O38" s="59" t="s">
        <v>4</v>
      </c>
      <c r="P38" s="59" t="s">
        <v>4</v>
      </c>
      <c r="Q38" s="96">
        <f t="shared" si="1"/>
        <v>1</v>
      </c>
      <c r="R38" s="59" t="s">
        <v>4</v>
      </c>
      <c r="S38" s="59" t="s">
        <v>4</v>
      </c>
      <c r="T38" s="59" t="s">
        <v>4</v>
      </c>
      <c r="U38" s="59" t="s">
        <v>4</v>
      </c>
      <c r="V38" s="45">
        <f t="shared" si="2"/>
        <v>1</v>
      </c>
      <c r="W38" s="59" t="s">
        <v>4</v>
      </c>
      <c r="X38" s="59" t="s">
        <v>4</v>
      </c>
      <c r="Y38" s="59" t="s">
        <v>4</v>
      </c>
      <c r="Z38" s="59" t="s">
        <v>4</v>
      </c>
      <c r="AA38" s="59" t="s">
        <v>4</v>
      </c>
      <c r="AB38" s="59" t="s">
        <v>4</v>
      </c>
      <c r="AC38" s="45">
        <f t="shared" si="3"/>
        <v>1.000000000000002</v>
      </c>
      <c r="AD38" s="59" t="s">
        <v>4</v>
      </c>
      <c r="AE38" s="59" t="s">
        <v>4</v>
      </c>
      <c r="AF38" s="97">
        <f t="shared" si="4"/>
        <v>1</v>
      </c>
      <c r="AG38" s="44">
        <f t="shared" si="5"/>
        <v>1.0000000000000004</v>
      </c>
      <c r="AH38" s="55">
        <f t="shared" si="6"/>
        <v>0</v>
      </c>
      <c r="AI38" s="55">
        <f>COUNTIF('Score BD'!$M38:$P38,"no")</f>
        <v>0</v>
      </c>
      <c r="AJ38" s="55">
        <f t="shared" si="7"/>
        <v>0</v>
      </c>
      <c r="AK38" s="55">
        <f t="shared" si="8"/>
        <v>0</v>
      </c>
      <c r="AL38" s="55">
        <f t="shared" si="9"/>
        <v>0</v>
      </c>
      <c r="AM38" s="59" t="s">
        <v>355</v>
      </c>
      <c r="AN38" s="46"/>
      <c r="AO38" s="43"/>
      <c r="AP38" s="43"/>
      <c r="AQ38" s="59" t="str">
        <f>IFERROR(_xlfn.XLOOKUP(Tabla1[[#This Row],[Cedula agente]],Lista!$B$2:$B$97,Lista!$G$2:$G$97)," ")</f>
        <v>Luisa Fernanda Benavides Castrillon</v>
      </c>
      <c r="AR38" s="59" t="s">
        <v>162</v>
      </c>
      <c r="AS38" s="55" t="str">
        <f>IFERROR(_xlfn.XLOOKUP(Tabla1[[#This Row],[Cedula agente]],Lista!$B$2:$B$97,Lista!$F$2:$F$97)," ")</f>
        <v>John Sebastian Roncancio Avendaño</v>
      </c>
      <c r="AT38" s="99">
        <v>0.95</v>
      </c>
      <c r="AU38" s="200">
        <f>+WEEKNUM('Score BD'!$H38)-WEEKNUM(DATE(YEAR('Score BD'!$H38),MONTH('Score BD'!$H38),1))+1</f>
        <v>2</v>
      </c>
    </row>
    <row r="39" spans="1:47" ht="17.45" customHeight="1" x14ac:dyDescent="0.3">
      <c r="A39" s="163" t="str">
        <f t="shared" si="10"/>
        <v>Ministerio de Educación Nacional</v>
      </c>
      <c r="B39" s="91">
        <f>+IFERROR(COUNTIF($J$3:J39,J39)," ")</f>
        <v>3</v>
      </c>
      <c r="C39" s="54" t="str">
        <f>+'Score BD'!$J39&amp;'Score BD'!$B39</f>
        <v>Ingrid Carolina Monsalve Quintero3</v>
      </c>
      <c r="D39" s="91" t="s">
        <v>148</v>
      </c>
      <c r="E39" s="92" t="s">
        <v>164</v>
      </c>
      <c r="F39" s="92" t="s">
        <v>212</v>
      </c>
      <c r="G39" s="60" t="str">
        <f t="shared" si="0"/>
        <v>Noviembre</v>
      </c>
      <c r="H39" s="93">
        <v>45967</v>
      </c>
      <c r="I39" s="155">
        <v>45966</v>
      </c>
      <c r="J39" s="57" t="s">
        <v>176</v>
      </c>
      <c r="K39" s="54">
        <f>IFERROR(VLOOKUP('Score BD'!$J39,Lista!A:B,2,0)," ")</f>
        <v>52805909</v>
      </c>
      <c r="L39" s="61" t="s">
        <v>282</v>
      </c>
      <c r="M39" s="59" t="s">
        <v>4</v>
      </c>
      <c r="N39" s="59" t="s">
        <v>4</v>
      </c>
      <c r="O39" s="59" t="s">
        <v>4</v>
      </c>
      <c r="P39" s="59" t="s">
        <v>4</v>
      </c>
      <c r="Q39" s="96">
        <f t="shared" si="1"/>
        <v>1</v>
      </c>
      <c r="R39" s="59" t="s">
        <v>4</v>
      </c>
      <c r="S39" s="59" t="s">
        <v>4</v>
      </c>
      <c r="T39" s="59" t="s">
        <v>4</v>
      </c>
      <c r="U39" s="59" t="s">
        <v>4</v>
      </c>
      <c r="V39" s="45">
        <f t="shared" si="2"/>
        <v>1</v>
      </c>
      <c r="W39" s="59" t="s">
        <v>4</v>
      </c>
      <c r="X39" s="59" t="s">
        <v>4</v>
      </c>
      <c r="Y39" s="59" t="s">
        <v>4</v>
      </c>
      <c r="Z39" s="59" t="s">
        <v>4</v>
      </c>
      <c r="AA39" s="59" t="s">
        <v>4</v>
      </c>
      <c r="AB39" s="59" t="s">
        <v>4</v>
      </c>
      <c r="AC39" s="45">
        <f t="shared" si="3"/>
        <v>1.000000000000002</v>
      </c>
      <c r="AD39" s="59" t="s">
        <v>4</v>
      </c>
      <c r="AE39" s="59" t="s">
        <v>4</v>
      </c>
      <c r="AF39" s="97">
        <f t="shared" si="4"/>
        <v>1</v>
      </c>
      <c r="AG39" s="44">
        <f t="shared" si="5"/>
        <v>1.0000000000000004</v>
      </c>
      <c r="AH39" s="55">
        <f t="shared" si="6"/>
        <v>0</v>
      </c>
      <c r="AI39" s="55">
        <f>COUNTIF('Score BD'!$M39:$P39,"no")</f>
        <v>0</v>
      </c>
      <c r="AJ39" s="55">
        <f t="shared" si="7"/>
        <v>0</v>
      </c>
      <c r="AK39" s="55">
        <f t="shared" si="8"/>
        <v>0</v>
      </c>
      <c r="AL39" s="55">
        <f t="shared" si="9"/>
        <v>0</v>
      </c>
      <c r="AM39" s="59" t="s">
        <v>355</v>
      </c>
      <c r="AN39" s="46"/>
      <c r="AO39" s="43"/>
      <c r="AP39" s="43"/>
      <c r="AQ39" s="59" t="str">
        <f>IFERROR(_xlfn.XLOOKUP(Tabla1[[#This Row],[Cedula agente]],Lista!$B$2:$B$97,Lista!$G$2:$G$97)," ")</f>
        <v>Luisa Fernanda Benavides Castrillon</v>
      </c>
      <c r="AR39" s="59" t="s">
        <v>162</v>
      </c>
      <c r="AS39" s="55" t="str">
        <f>IFERROR(_xlfn.XLOOKUP(Tabla1[[#This Row],[Cedula agente]],Lista!$B$2:$B$97,Lista!$F$2:$F$97)," ")</f>
        <v>John Sebastian Roncancio Avendaño</v>
      </c>
      <c r="AT39" s="99">
        <v>0.95</v>
      </c>
      <c r="AU39" s="200">
        <f>+WEEKNUM('Score BD'!$H39)-WEEKNUM(DATE(YEAR('Score BD'!$H39),MONTH('Score BD'!$H39),1))+1</f>
        <v>2</v>
      </c>
    </row>
    <row r="40" spans="1:47" ht="17.45" customHeight="1" x14ac:dyDescent="0.3">
      <c r="A40" s="163" t="str">
        <f t="shared" si="10"/>
        <v>Ministerio de Educación Nacional</v>
      </c>
      <c r="B40" s="50">
        <f>+IFERROR(COUNTIF($J$3:J40,J40)," ")</f>
        <v>4</v>
      </c>
      <c r="C40" s="54" t="str">
        <f>+'Score BD'!$J40&amp;'Score BD'!$B40</f>
        <v>Ingrid Carolina Monsalve Quintero4</v>
      </c>
      <c r="D40" s="91" t="s">
        <v>148</v>
      </c>
      <c r="E40" s="92" t="s">
        <v>164</v>
      </c>
      <c r="F40" s="92" t="s">
        <v>212</v>
      </c>
      <c r="G40" s="60" t="str">
        <f t="shared" si="0"/>
        <v>Noviembre</v>
      </c>
      <c r="H40" s="93">
        <v>45967</v>
      </c>
      <c r="I40" s="155">
        <v>45966</v>
      </c>
      <c r="J40" s="57" t="s">
        <v>176</v>
      </c>
      <c r="K40" s="54">
        <f>IFERROR(VLOOKUP('Score BD'!$J40,Lista!A:B,2,0)," ")</f>
        <v>52805909</v>
      </c>
      <c r="L40" s="61" t="s">
        <v>283</v>
      </c>
      <c r="M40" s="59" t="s">
        <v>4</v>
      </c>
      <c r="N40" s="59" t="s">
        <v>4</v>
      </c>
      <c r="O40" s="59" t="s">
        <v>4</v>
      </c>
      <c r="P40" s="59" t="s">
        <v>4</v>
      </c>
      <c r="Q40" s="96">
        <f t="shared" si="1"/>
        <v>1</v>
      </c>
      <c r="R40" s="59" t="s">
        <v>4</v>
      </c>
      <c r="S40" s="59" t="s">
        <v>4</v>
      </c>
      <c r="T40" s="59" t="s">
        <v>4</v>
      </c>
      <c r="U40" s="59" t="s">
        <v>4</v>
      </c>
      <c r="V40" s="45">
        <f t="shared" si="2"/>
        <v>1</v>
      </c>
      <c r="W40" s="59" t="s">
        <v>4</v>
      </c>
      <c r="X40" s="59" t="s">
        <v>4</v>
      </c>
      <c r="Y40" s="59" t="s">
        <v>4</v>
      </c>
      <c r="Z40" s="59" t="s">
        <v>4</v>
      </c>
      <c r="AA40" s="59" t="s">
        <v>4</v>
      </c>
      <c r="AB40" s="59" t="s">
        <v>4</v>
      </c>
      <c r="AC40" s="45">
        <f t="shared" si="3"/>
        <v>1.000000000000002</v>
      </c>
      <c r="AD40" s="59" t="s">
        <v>4</v>
      </c>
      <c r="AE40" s="59" t="s">
        <v>4</v>
      </c>
      <c r="AF40" s="97">
        <f t="shared" si="4"/>
        <v>1</v>
      </c>
      <c r="AG40" s="44">
        <f t="shared" si="5"/>
        <v>1.0000000000000004</v>
      </c>
      <c r="AH40" s="55">
        <f t="shared" si="6"/>
        <v>0</v>
      </c>
      <c r="AI40" s="55">
        <f>COUNTIF('Score BD'!$M40:$P40,"no")</f>
        <v>0</v>
      </c>
      <c r="AJ40" s="55">
        <f t="shared" si="7"/>
        <v>0</v>
      </c>
      <c r="AK40" s="55">
        <f t="shared" si="8"/>
        <v>0</v>
      </c>
      <c r="AL40" s="55">
        <f t="shared" si="9"/>
        <v>0</v>
      </c>
      <c r="AM40" s="59" t="s">
        <v>355</v>
      </c>
      <c r="AN40" s="46"/>
      <c r="AO40" s="43"/>
      <c r="AP40" s="43"/>
      <c r="AQ40" s="59" t="str">
        <f>IFERROR(_xlfn.XLOOKUP(Tabla1[[#This Row],[Cedula agente]],Lista!$B$2:$B$97,Lista!$G$2:$G$97)," ")</f>
        <v>Luisa Fernanda Benavides Castrillon</v>
      </c>
      <c r="AR40" s="59" t="s">
        <v>162</v>
      </c>
      <c r="AS40" s="55" t="str">
        <f>IFERROR(_xlfn.XLOOKUP(Tabla1[[#This Row],[Cedula agente]],Lista!$B$2:$B$97,Lista!$F$2:$F$97)," ")</f>
        <v>John Sebastian Roncancio Avendaño</v>
      </c>
      <c r="AT40" s="99">
        <v>0.95</v>
      </c>
      <c r="AU40" s="200">
        <f>+WEEKNUM('Score BD'!$H40)-WEEKNUM(DATE(YEAR('Score BD'!$H40),MONTH('Score BD'!$H40),1))+1</f>
        <v>2</v>
      </c>
    </row>
    <row r="41" spans="1:47" ht="17.45" customHeight="1" x14ac:dyDescent="0.3">
      <c r="A41" s="163" t="str">
        <f t="shared" si="10"/>
        <v>Ministerio de Educación Nacional</v>
      </c>
      <c r="B41" s="50">
        <f>+IFERROR(COUNTIF($J$3:J41,J41)," ")</f>
        <v>2</v>
      </c>
      <c r="C41" s="54" t="str">
        <f>+'Score BD'!$J41&amp;'Score BD'!$B41</f>
        <v>Jesus David Hernandez Fernandez de Castro2</v>
      </c>
      <c r="D41" s="91" t="s">
        <v>148</v>
      </c>
      <c r="E41" s="92" t="s">
        <v>208</v>
      </c>
      <c r="F41" s="92" t="s">
        <v>212</v>
      </c>
      <c r="G41" s="60" t="str">
        <f t="shared" si="0"/>
        <v>Noviembre</v>
      </c>
      <c r="H41" s="93">
        <v>45967</v>
      </c>
      <c r="I41" s="155">
        <v>45966</v>
      </c>
      <c r="J41" s="57" t="s">
        <v>177</v>
      </c>
      <c r="K41" s="54">
        <f>IFERROR(VLOOKUP('Score BD'!$J41,Lista!A:B,2,0)," ")</f>
        <v>1083038013</v>
      </c>
      <c r="L41" s="61" t="s">
        <v>284</v>
      </c>
      <c r="M41" s="59" t="s">
        <v>4</v>
      </c>
      <c r="N41" s="59" t="s">
        <v>4</v>
      </c>
      <c r="O41" s="59" t="s">
        <v>4</v>
      </c>
      <c r="P41" s="59" t="s">
        <v>4</v>
      </c>
      <c r="Q41" s="96">
        <f t="shared" si="1"/>
        <v>1</v>
      </c>
      <c r="R41" s="59" t="s">
        <v>4</v>
      </c>
      <c r="S41" s="59" t="s">
        <v>4</v>
      </c>
      <c r="T41" s="59" t="s">
        <v>4</v>
      </c>
      <c r="U41" s="59" t="s">
        <v>4</v>
      </c>
      <c r="V41" s="45">
        <f t="shared" si="2"/>
        <v>1</v>
      </c>
      <c r="W41" s="59" t="s">
        <v>4</v>
      </c>
      <c r="X41" s="59" t="s">
        <v>4</v>
      </c>
      <c r="Y41" s="59" t="s">
        <v>4</v>
      </c>
      <c r="Z41" s="59" t="s">
        <v>4</v>
      </c>
      <c r="AA41" s="59" t="s">
        <v>4</v>
      </c>
      <c r="AB41" s="59" t="s">
        <v>4</v>
      </c>
      <c r="AC41" s="45">
        <f t="shared" si="3"/>
        <v>1.000000000000002</v>
      </c>
      <c r="AD41" s="59" t="s">
        <v>4</v>
      </c>
      <c r="AE41" s="59" t="s">
        <v>4</v>
      </c>
      <c r="AF41" s="97">
        <f t="shared" si="4"/>
        <v>1</v>
      </c>
      <c r="AG41" s="44">
        <f t="shared" si="5"/>
        <v>1.0000000000000004</v>
      </c>
      <c r="AH41" s="55">
        <f t="shared" si="6"/>
        <v>0</v>
      </c>
      <c r="AI41" s="55">
        <f>COUNTIF('Score BD'!$M41:$P41,"no")</f>
        <v>0</v>
      </c>
      <c r="AJ41" s="55">
        <f t="shared" si="7"/>
        <v>0</v>
      </c>
      <c r="AK41" s="55">
        <f t="shared" si="8"/>
        <v>0</v>
      </c>
      <c r="AL41" s="55">
        <f t="shared" si="9"/>
        <v>0</v>
      </c>
      <c r="AM41" s="59" t="s">
        <v>355</v>
      </c>
      <c r="AN41" s="46"/>
      <c r="AO41" s="43"/>
      <c r="AP41" s="43"/>
      <c r="AQ41" s="59" t="str">
        <f>IFERROR(_xlfn.XLOOKUP(Tabla1[[#This Row],[Cedula agente]],Lista!$B$2:$B$97,Lista!$G$2:$G$97)," ")</f>
        <v>Luisa Fernanda Benavides Castrillon</v>
      </c>
      <c r="AR41" s="59" t="s">
        <v>162</v>
      </c>
      <c r="AS41" s="55" t="str">
        <f>IFERROR(_xlfn.XLOOKUP(Tabla1[[#This Row],[Cedula agente]],Lista!$B$2:$B$97,Lista!$F$2:$F$97)," ")</f>
        <v>John Sebastian Roncancio Avendaño</v>
      </c>
      <c r="AT41" s="99">
        <v>0.95</v>
      </c>
      <c r="AU41" s="200">
        <f>+WEEKNUM('Score BD'!$H41)-WEEKNUM(DATE(YEAR('Score BD'!$H41),MONTH('Score BD'!$H41),1))+1</f>
        <v>2</v>
      </c>
    </row>
    <row r="42" spans="1:47" ht="17.45" customHeight="1" x14ac:dyDescent="0.3">
      <c r="A42" s="163" t="str">
        <f t="shared" si="10"/>
        <v>Ministerio de Educación Nacional</v>
      </c>
      <c r="B42" s="50">
        <f>+IFERROR(COUNTIF($J$3:J42,J42)," ")</f>
        <v>3</v>
      </c>
      <c r="C42" s="54" t="str">
        <f>+'Score BD'!$J42&amp;'Score BD'!$B42</f>
        <v>Juan Jose Santoya Medina3</v>
      </c>
      <c r="D42" s="91" t="s">
        <v>148</v>
      </c>
      <c r="E42" s="92" t="s">
        <v>165</v>
      </c>
      <c r="F42" s="92" t="s">
        <v>212</v>
      </c>
      <c r="G42" s="60" t="str">
        <f t="shared" si="0"/>
        <v>Noviembre</v>
      </c>
      <c r="H42" s="93">
        <v>45967</v>
      </c>
      <c r="I42" s="155">
        <v>45966</v>
      </c>
      <c r="J42" s="57" t="s">
        <v>178</v>
      </c>
      <c r="K42" s="54">
        <f>IFERROR(VLOOKUP('Score BD'!$J42,Lista!A:B,2,0)," ")</f>
        <v>1053345183</v>
      </c>
      <c r="L42" s="61" t="s">
        <v>285</v>
      </c>
      <c r="M42" s="59" t="s">
        <v>4</v>
      </c>
      <c r="N42" s="59" t="s">
        <v>4</v>
      </c>
      <c r="O42" s="59" t="s">
        <v>4</v>
      </c>
      <c r="P42" s="59" t="s">
        <v>4</v>
      </c>
      <c r="Q42" s="96">
        <f t="shared" si="1"/>
        <v>1</v>
      </c>
      <c r="R42" s="59" t="s">
        <v>4</v>
      </c>
      <c r="S42" s="59" t="s">
        <v>4</v>
      </c>
      <c r="T42" s="59" t="s">
        <v>4</v>
      </c>
      <c r="U42" s="59" t="s">
        <v>4</v>
      </c>
      <c r="V42" s="45">
        <f t="shared" si="2"/>
        <v>1</v>
      </c>
      <c r="W42" s="59" t="s">
        <v>4</v>
      </c>
      <c r="X42" s="59" t="s">
        <v>4</v>
      </c>
      <c r="Y42" s="59" t="s">
        <v>4</v>
      </c>
      <c r="Z42" s="59" t="s">
        <v>4</v>
      </c>
      <c r="AA42" s="59" t="s">
        <v>4</v>
      </c>
      <c r="AB42" s="59" t="s">
        <v>4</v>
      </c>
      <c r="AC42" s="45">
        <f t="shared" si="3"/>
        <v>1.000000000000002</v>
      </c>
      <c r="AD42" s="59" t="s">
        <v>4</v>
      </c>
      <c r="AE42" s="59" t="s">
        <v>4</v>
      </c>
      <c r="AF42" s="97">
        <f t="shared" si="4"/>
        <v>1</v>
      </c>
      <c r="AG42" s="44">
        <f t="shared" si="5"/>
        <v>1.0000000000000004</v>
      </c>
      <c r="AH42" s="55">
        <f t="shared" si="6"/>
        <v>0</v>
      </c>
      <c r="AI42" s="55">
        <f>COUNTIF('Score BD'!$M42:$P42,"no")</f>
        <v>0</v>
      </c>
      <c r="AJ42" s="55">
        <f t="shared" si="7"/>
        <v>0</v>
      </c>
      <c r="AK42" s="55">
        <f t="shared" si="8"/>
        <v>0</v>
      </c>
      <c r="AL42" s="64">
        <f t="shared" si="9"/>
        <v>0</v>
      </c>
      <c r="AM42" s="59" t="s">
        <v>355</v>
      </c>
      <c r="AN42" s="46"/>
      <c r="AO42" s="43"/>
      <c r="AP42" s="43"/>
      <c r="AQ42" s="59" t="str">
        <f>IFERROR(_xlfn.XLOOKUP(Tabla1[[#This Row],[Cedula agente]],Lista!$B$2:$B$97,Lista!$G$2:$G$97)," ")</f>
        <v>Luisa Fernanda Benavides Castrillon</v>
      </c>
      <c r="AR42" s="59" t="s">
        <v>162</v>
      </c>
      <c r="AS42" s="55" t="str">
        <f>IFERROR(_xlfn.XLOOKUP(Tabla1[[#This Row],[Cedula agente]],Lista!$B$2:$B$97,Lista!$F$2:$F$97)," ")</f>
        <v>John Sebastian Roncancio Avendaño</v>
      </c>
      <c r="AT42" s="99">
        <v>0.95</v>
      </c>
      <c r="AU42" s="200">
        <f>+WEEKNUM('Score BD'!$H42)-WEEKNUM(DATE(YEAR('Score BD'!$H42),MONTH('Score BD'!$H42),1))+1</f>
        <v>2</v>
      </c>
    </row>
    <row r="43" spans="1:47" ht="17.45" customHeight="1" x14ac:dyDescent="0.3">
      <c r="A43" s="49" t="str">
        <f t="shared" si="10"/>
        <v>Ministerio de Educación Nacional</v>
      </c>
      <c r="B43" s="50">
        <f>+IFERROR(COUNTIF($J$3:J43,J43)," ")</f>
        <v>4</v>
      </c>
      <c r="C43" s="54" t="str">
        <f>+'Score BD'!$J43&amp;'Score BD'!$B43</f>
        <v>Juan Jose Santoya Medina4</v>
      </c>
      <c r="D43" s="91" t="s">
        <v>148</v>
      </c>
      <c r="E43" s="92" t="s">
        <v>165</v>
      </c>
      <c r="F43" s="92" t="s">
        <v>212</v>
      </c>
      <c r="G43" s="60" t="str">
        <f t="shared" si="0"/>
        <v>Noviembre</v>
      </c>
      <c r="H43" s="93">
        <v>45967</v>
      </c>
      <c r="I43" s="155">
        <v>45966</v>
      </c>
      <c r="J43" s="57" t="s">
        <v>178</v>
      </c>
      <c r="K43" s="54">
        <f>IFERROR(VLOOKUP('Score BD'!$J43,Lista!A:B,2,0)," ")</f>
        <v>1053345183</v>
      </c>
      <c r="L43" s="61" t="s">
        <v>286</v>
      </c>
      <c r="M43" s="59" t="s">
        <v>4</v>
      </c>
      <c r="N43" s="59" t="s">
        <v>4</v>
      </c>
      <c r="O43" s="59" t="s">
        <v>4</v>
      </c>
      <c r="P43" s="59" t="s">
        <v>4</v>
      </c>
      <c r="Q43" s="96">
        <f t="shared" si="1"/>
        <v>1</v>
      </c>
      <c r="R43" s="59" t="s">
        <v>4</v>
      </c>
      <c r="S43" s="59" t="s">
        <v>4</v>
      </c>
      <c r="T43" s="59" t="s">
        <v>4</v>
      </c>
      <c r="U43" s="59" t="s">
        <v>4</v>
      </c>
      <c r="V43" s="45">
        <f t="shared" si="2"/>
        <v>1</v>
      </c>
      <c r="W43" s="59" t="s">
        <v>4</v>
      </c>
      <c r="X43" s="59" t="s">
        <v>4</v>
      </c>
      <c r="Y43" s="59" t="s">
        <v>4</v>
      </c>
      <c r="Z43" s="59" t="s">
        <v>4</v>
      </c>
      <c r="AA43" s="59" t="s">
        <v>4</v>
      </c>
      <c r="AB43" s="59" t="s">
        <v>4</v>
      </c>
      <c r="AC43" s="45">
        <f t="shared" si="3"/>
        <v>1.000000000000002</v>
      </c>
      <c r="AD43" s="59" t="s">
        <v>4</v>
      </c>
      <c r="AE43" s="59" t="s">
        <v>4</v>
      </c>
      <c r="AF43" s="97">
        <f t="shared" si="4"/>
        <v>1</v>
      </c>
      <c r="AG43" s="44">
        <f t="shared" si="5"/>
        <v>1.0000000000000004</v>
      </c>
      <c r="AH43" s="55">
        <f t="shared" si="6"/>
        <v>0</v>
      </c>
      <c r="AI43" s="55">
        <f>COUNTIF('Score BD'!$M43:$P43,"no")</f>
        <v>0</v>
      </c>
      <c r="AJ43" s="55">
        <f t="shared" si="7"/>
        <v>0</v>
      </c>
      <c r="AK43" s="55">
        <f t="shared" si="8"/>
        <v>0</v>
      </c>
      <c r="AL43" s="64">
        <f t="shared" si="9"/>
        <v>0</v>
      </c>
      <c r="AM43" s="59" t="s">
        <v>355</v>
      </c>
      <c r="AN43" s="46"/>
      <c r="AO43" s="43"/>
      <c r="AP43" s="43"/>
      <c r="AQ43" s="59" t="str">
        <f>IFERROR(_xlfn.XLOOKUP(Tabla1[[#This Row],[Cedula agente]],Lista!$B$2:$B$97,Lista!$G$2:$G$97)," ")</f>
        <v>Luisa Fernanda Benavides Castrillon</v>
      </c>
      <c r="AR43" s="59" t="s">
        <v>162</v>
      </c>
      <c r="AS43" s="55" t="str">
        <f>IFERROR(_xlfn.XLOOKUP(Tabla1[[#This Row],[Cedula agente]],Lista!$B$2:$B$97,Lista!$F$2:$F$97)," ")</f>
        <v>John Sebastian Roncancio Avendaño</v>
      </c>
      <c r="AT43" s="99">
        <v>0.95</v>
      </c>
      <c r="AU43" s="200">
        <f>+WEEKNUM('Score BD'!$H43)-WEEKNUM(DATE(YEAR('Score BD'!$H43),MONTH('Score BD'!$H43),1))+1</f>
        <v>2</v>
      </c>
    </row>
    <row r="44" spans="1:47" ht="17.45" customHeight="1" x14ac:dyDescent="0.3">
      <c r="A44" s="49" t="str">
        <f t="shared" si="10"/>
        <v>Ministerio de Educación Nacional</v>
      </c>
      <c r="B44" s="50">
        <f>+IFERROR(COUNTIF($J$3:J44,J44)," ")</f>
        <v>2</v>
      </c>
      <c r="C44" s="54" t="str">
        <f>+'Score BD'!$J44&amp;'Score BD'!$B44</f>
        <v>Juan Sebastián Suárez Morales2</v>
      </c>
      <c r="D44" s="91" t="s">
        <v>148</v>
      </c>
      <c r="E44" s="92" t="s">
        <v>165</v>
      </c>
      <c r="F44" s="92" t="s">
        <v>212</v>
      </c>
      <c r="G44" s="60" t="str">
        <f t="shared" si="0"/>
        <v>Noviembre</v>
      </c>
      <c r="H44" s="93">
        <v>45967</v>
      </c>
      <c r="I44" s="155">
        <v>45966</v>
      </c>
      <c r="J44" s="57" t="s">
        <v>179</v>
      </c>
      <c r="K44" s="54">
        <f>IFERROR(VLOOKUP('Score BD'!$J44,Lista!A:B,2,0)," ")</f>
        <v>1030541070</v>
      </c>
      <c r="L44" s="61" t="s">
        <v>287</v>
      </c>
      <c r="M44" s="59" t="s">
        <v>4</v>
      </c>
      <c r="N44" s="59" t="s">
        <v>4</v>
      </c>
      <c r="O44" s="59" t="s">
        <v>4</v>
      </c>
      <c r="P44" s="59" t="s">
        <v>4</v>
      </c>
      <c r="Q44" s="96">
        <f t="shared" si="1"/>
        <v>1</v>
      </c>
      <c r="R44" s="59" t="s">
        <v>4</v>
      </c>
      <c r="S44" s="59" t="s">
        <v>4</v>
      </c>
      <c r="T44" s="59" t="s">
        <v>4</v>
      </c>
      <c r="U44" s="59" t="s">
        <v>4</v>
      </c>
      <c r="V44" s="45">
        <f t="shared" si="2"/>
        <v>1</v>
      </c>
      <c r="W44" s="59" t="s">
        <v>4</v>
      </c>
      <c r="X44" s="59" t="s">
        <v>4</v>
      </c>
      <c r="Y44" s="59" t="s">
        <v>4</v>
      </c>
      <c r="Z44" s="59" t="s">
        <v>4</v>
      </c>
      <c r="AA44" s="59" t="s">
        <v>4</v>
      </c>
      <c r="AB44" s="59" t="s">
        <v>4</v>
      </c>
      <c r="AC44" s="45">
        <f t="shared" si="3"/>
        <v>1.000000000000002</v>
      </c>
      <c r="AD44" s="59" t="s">
        <v>4</v>
      </c>
      <c r="AE44" s="59" t="s">
        <v>4</v>
      </c>
      <c r="AF44" s="97">
        <f t="shared" si="4"/>
        <v>1</v>
      </c>
      <c r="AG44" s="44">
        <f t="shared" si="5"/>
        <v>1.0000000000000004</v>
      </c>
      <c r="AH44" s="55">
        <f t="shared" si="6"/>
        <v>0</v>
      </c>
      <c r="AI44" s="55">
        <f>COUNTIF('Score BD'!$M44:$P44,"no")</f>
        <v>0</v>
      </c>
      <c r="AJ44" s="55">
        <f t="shared" si="7"/>
        <v>0</v>
      </c>
      <c r="AK44" s="55">
        <f t="shared" si="8"/>
        <v>0</v>
      </c>
      <c r="AL44" s="55">
        <f t="shared" si="9"/>
        <v>0</v>
      </c>
      <c r="AM44" s="59" t="s">
        <v>355</v>
      </c>
      <c r="AN44" s="46"/>
      <c r="AO44" s="43"/>
      <c r="AP44" s="43"/>
      <c r="AQ44" s="59" t="str">
        <f>IFERROR(_xlfn.XLOOKUP(Tabla1[[#This Row],[Cedula agente]],Lista!$B$2:$B$97,Lista!$G$2:$G$97)," ")</f>
        <v>Luisa Fernanda Benavides Castrillon</v>
      </c>
      <c r="AR44" s="59" t="s">
        <v>162</v>
      </c>
      <c r="AS44" s="55" t="str">
        <f>IFERROR(_xlfn.XLOOKUP(Tabla1[[#This Row],[Cedula agente]],Lista!$B$2:$B$97,Lista!$F$2:$F$97)," ")</f>
        <v>John Sebastian Roncancio Avendaño</v>
      </c>
      <c r="AT44" s="99">
        <v>0.95</v>
      </c>
      <c r="AU44" s="200">
        <f>+WEEKNUM('Score BD'!$H44)-WEEKNUM(DATE(YEAR('Score BD'!$H44),MONTH('Score BD'!$H44),1))+1</f>
        <v>2</v>
      </c>
    </row>
    <row r="45" spans="1:47" ht="17.45" customHeight="1" x14ac:dyDescent="0.3">
      <c r="A45" s="49" t="str">
        <f t="shared" si="10"/>
        <v>Ministerio de Educación Nacional</v>
      </c>
      <c r="B45" s="50">
        <f>+IFERROR(COUNTIF($J$3:J45,J45)," ")</f>
        <v>2</v>
      </c>
      <c r="C45" s="54" t="str">
        <f>+'Score BD'!$J45&amp;'Score BD'!$B45</f>
        <v>Laura Juliana Rueda Durán2</v>
      </c>
      <c r="D45" s="91" t="s">
        <v>148</v>
      </c>
      <c r="E45" s="92" t="s">
        <v>165</v>
      </c>
      <c r="F45" s="92" t="s">
        <v>212</v>
      </c>
      <c r="G45" s="60" t="str">
        <f t="shared" si="0"/>
        <v>Noviembre</v>
      </c>
      <c r="H45" s="93">
        <v>45967</v>
      </c>
      <c r="I45" s="155">
        <v>45966</v>
      </c>
      <c r="J45" s="57" t="s">
        <v>180</v>
      </c>
      <c r="K45" s="54">
        <f>IFERROR(VLOOKUP('Score BD'!$J45,Lista!A:B,2,0)," ")</f>
        <v>1026291591</v>
      </c>
      <c r="L45" s="61" t="s">
        <v>288</v>
      </c>
      <c r="M45" s="59" t="s">
        <v>4</v>
      </c>
      <c r="N45" s="59" t="s">
        <v>4</v>
      </c>
      <c r="O45" s="59" t="s">
        <v>4</v>
      </c>
      <c r="P45" s="59" t="s">
        <v>4</v>
      </c>
      <c r="Q45" s="96">
        <f t="shared" si="1"/>
        <v>1</v>
      </c>
      <c r="R45" s="59" t="s">
        <v>4</v>
      </c>
      <c r="S45" s="59" t="s">
        <v>4</v>
      </c>
      <c r="T45" s="59" t="s">
        <v>4</v>
      </c>
      <c r="U45" s="59" t="s">
        <v>4</v>
      </c>
      <c r="V45" s="45">
        <f t="shared" si="2"/>
        <v>1</v>
      </c>
      <c r="W45" s="59" t="s">
        <v>4</v>
      </c>
      <c r="X45" s="59" t="s">
        <v>4</v>
      </c>
      <c r="Y45" s="59" t="s">
        <v>4</v>
      </c>
      <c r="Z45" s="59" t="s">
        <v>4</v>
      </c>
      <c r="AA45" s="59" t="s">
        <v>4</v>
      </c>
      <c r="AB45" s="59" t="s">
        <v>4</v>
      </c>
      <c r="AC45" s="45">
        <f t="shared" si="3"/>
        <v>1.000000000000002</v>
      </c>
      <c r="AD45" s="59" t="s">
        <v>4</v>
      </c>
      <c r="AE45" s="59" t="s">
        <v>4</v>
      </c>
      <c r="AF45" s="97">
        <f t="shared" si="4"/>
        <v>1</v>
      </c>
      <c r="AG45" s="44">
        <f t="shared" si="5"/>
        <v>1.0000000000000004</v>
      </c>
      <c r="AH45" s="55">
        <f t="shared" si="6"/>
        <v>0</v>
      </c>
      <c r="AI45" s="55">
        <f>COUNTIF('Score BD'!$M45:$P45,"no")</f>
        <v>0</v>
      </c>
      <c r="AJ45" s="55">
        <f t="shared" si="7"/>
        <v>0</v>
      </c>
      <c r="AK45" s="55">
        <f t="shared" si="8"/>
        <v>0</v>
      </c>
      <c r="AL45" s="55">
        <f t="shared" si="9"/>
        <v>0</v>
      </c>
      <c r="AM45" s="59" t="s">
        <v>355</v>
      </c>
      <c r="AN45" s="46"/>
      <c r="AO45" s="43"/>
      <c r="AP45" s="43"/>
      <c r="AQ45" s="59" t="str">
        <f>IFERROR(_xlfn.XLOOKUP(Tabla1[[#This Row],[Cedula agente]],Lista!$B$2:$B$97,Lista!$G$2:$G$97)," ")</f>
        <v>Luisa Fernanda Benavides Castrillon</v>
      </c>
      <c r="AR45" s="59" t="s">
        <v>162</v>
      </c>
      <c r="AS45" s="55" t="str">
        <f>IFERROR(_xlfn.XLOOKUP(Tabla1[[#This Row],[Cedula agente]],Lista!$B$2:$B$97,Lista!$F$2:$F$97)," ")</f>
        <v>John Sebastian Roncancio Avendaño</v>
      </c>
      <c r="AT45" s="99">
        <v>0.95</v>
      </c>
      <c r="AU45" s="200">
        <f>+WEEKNUM('Score BD'!$H45)-WEEKNUM(DATE(YEAR('Score BD'!$H45),MONTH('Score BD'!$H45),1))+1</f>
        <v>2</v>
      </c>
    </row>
    <row r="46" spans="1:47" ht="17.45" customHeight="1" x14ac:dyDescent="0.3">
      <c r="A46" s="49" t="str">
        <f t="shared" si="10"/>
        <v>Ministerio de Educación Nacional</v>
      </c>
      <c r="B46" s="50">
        <f>+IFERROR(COUNTIF($J$3:J46,J46)," ")</f>
        <v>2</v>
      </c>
      <c r="C46" s="54" t="str">
        <f>+'Score BD'!$J46&amp;'Score BD'!$B46</f>
        <v>Laura Ximena Sandoval Galindo2</v>
      </c>
      <c r="D46" s="91" t="s">
        <v>148</v>
      </c>
      <c r="E46" s="92" t="s">
        <v>208</v>
      </c>
      <c r="F46" s="92" t="s">
        <v>212</v>
      </c>
      <c r="G46" s="60" t="str">
        <f t="shared" si="0"/>
        <v>Noviembre</v>
      </c>
      <c r="H46" s="93">
        <v>45967</v>
      </c>
      <c r="I46" s="155">
        <v>45966</v>
      </c>
      <c r="J46" s="57" t="s">
        <v>201</v>
      </c>
      <c r="K46" s="54">
        <f>IFERROR(VLOOKUP('Score BD'!$J46,Lista!A:B,2,0)," ")</f>
        <v>1030678660</v>
      </c>
      <c r="L46" s="61" t="s">
        <v>289</v>
      </c>
      <c r="M46" s="59" t="s">
        <v>4</v>
      </c>
      <c r="N46" s="59" t="s">
        <v>4</v>
      </c>
      <c r="O46" s="59" t="s">
        <v>4</v>
      </c>
      <c r="P46" s="59" t="s">
        <v>4</v>
      </c>
      <c r="Q46" s="96">
        <f t="shared" si="1"/>
        <v>1</v>
      </c>
      <c r="R46" s="59" t="s">
        <v>4</v>
      </c>
      <c r="S46" s="59" t="s">
        <v>4</v>
      </c>
      <c r="T46" s="59" t="s">
        <v>4</v>
      </c>
      <c r="U46" s="59" t="s">
        <v>4</v>
      </c>
      <c r="V46" s="45">
        <f t="shared" si="2"/>
        <v>1</v>
      </c>
      <c r="W46" s="59" t="s">
        <v>4</v>
      </c>
      <c r="X46" s="59" t="s">
        <v>4</v>
      </c>
      <c r="Y46" s="59" t="s">
        <v>4</v>
      </c>
      <c r="Z46" s="59" t="s">
        <v>4</v>
      </c>
      <c r="AA46" s="59" t="s">
        <v>4</v>
      </c>
      <c r="AB46" s="59" t="s">
        <v>4</v>
      </c>
      <c r="AC46" s="45">
        <f t="shared" si="3"/>
        <v>1.000000000000002</v>
      </c>
      <c r="AD46" s="59" t="s">
        <v>4</v>
      </c>
      <c r="AE46" s="59" t="s">
        <v>4</v>
      </c>
      <c r="AF46" s="97">
        <f t="shared" si="4"/>
        <v>1</v>
      </c>
      <c r="AG46" s="44">
        <f t="shared" si="5"/>
        <v>1.0000000000000004</v>
      </c>
      <c r="AH46" s="55">
        <f t="shared" si="6"/>
        <v>0</v>
      </c>
      <c r="AI46" s="55">
        <f>COUNTIF('Score BD'!$M46:$P46,"no")</f>
        <v>0</v>
      </c>
      <c r="AJ46" s="55">
        <f t="shared" si="7"/>
        <v>0</v>
      </c>
      <c r="AK46" s="55">
        <f t="shared" si="8"/>
        <v>0</v>
      </c>
      <c r="AL46" s="55">
        <f t="shared" si="9"/>
        <v>0</v>
      </c>
      <c r="AM46" s="59" t="s">
        <v>355</v>
      </c>
      <c r="AN46" s="46"/>
      <c r="AO46" s="43"/>
      <c r="AP46" s="43"/>
      <c r="AQ46" s="59" t="str">
        <f>IFERROR(_xlfn.XLOOKUP(Tabla1[[#This Row],[Cedula agente]],Lista!$B$2:$B$97,Lista!$G$2:$G$97)," ")</f>
        <v>Luisa Fernanda Benavides Castrillon</v>
      </c>
      <c r="AR46" s="59" t="s">
        <v>162</v>
      </c>
      <c r="AS46" s="55" t="str">
        <f>IFERROR(_xlfn.XLOOKUP(Tabla1[[#This Row],[Cedula agente]],Lista!$B$2:$B$97,Lista!$F$2:$F$97)," ")</f>
        <v>John Sebastian Roncancio Avendaño</v>
      </c>
      <c r="AT46" s="99">
        <v>0.95</v>
      </c>
      <c r="AU46" s="200">
        <f>+WEEKNUM('Score BD'!$H46)-WEEKNUM(DATE(YEAR('Score BD'!$H46),MONTH('Score BD'!$H46),1))+1</f>
        <v>2</v>
      </c>
    </row>
    <row r="47" spans="1:47" ht="17.45" customHeight="1" x14ac:dyDescent="0.3">
      <c r="A47" s="49" t="str">
        <f t="shared" si="10"/>
        <v>Ministerio de Educación Nacional</v>
      </c>
      <c r="B47" s="50">
        <f>+IFERROR(COUNTIF($J$3:J47,J47)," ")</f>
        <v>3</v>
      </c>
      <c r="C47" s="54" t="str">
        <f>+'Score BD'!$J47&amp;'Score BD'!$B47</f>
        <v>Maira Alejandra Rodriguez Losada3</v>
      </c>
      <c r="D47" s="91" t="s">
        <v>148</v>
      </c>
      <c r="E47" s="92" t="s">
        <v>164</v>
      </c>
      <c r="F47" s="92" t="s">
        <v>212</v>
      </c>
      <c r="G47" s="60" t="str">
        <f t="shared" si="0"/>
        <v>Noviembre</v>
      </c>
      <c r="H47" s="93">
        <v>45967</v>
      </c>
      <c r="I47" s="155">
        <v>45966</v>
      </c>
      <c r="J47" s="57" t="s">
        <v>204</v>
      </c>
      <c r="K47" s="54">
        <f>IFERROR(VLOOKUP('Score BD'!$J47,Lista!A:B,2,0)," ")</f>
        <v>1075224344</v>
      </c>
      <c r="L47" s="61" t="s">
        <v>290</v>
      </c>
      <c r="M47" s="59" t="s">
        <v>4</v>
      </c>
      <c r="N47" s="59" t="s">
        <v>4</v>
      </c>
      <c r="O47" s="59" t="s">
        <v>4</v>
      </c>
      <c r="P47" s="59" t="s">
        <v>4</v>
      </c>
      <c r="Q47" s="96">
        <f t="shared" si="1"/>
        <v>1</v>
      </c>
      <c r="R47" s="59" t="s">
        <v>4</v>
      </c>
      <c r="S47" s="59" t="s">
        <v>4</v>
      </c>
      <c r="T47" s="59" t="s">
        <v>4</v>
      </c>
      <c r="U47" s="59" t="s">
        <v>4</v>
      </c>
      <c r="V47" s="45">
        <f t="shared" si="2"/>
        <v>1</v>
      </c>
      <c r="W47" s="59" t="s">
        <v>4</v>
      </c>
      <c r="X47" s="59" t="s">
        <v>4</v>
      </c>
      <c r="Y47" s="59" t="s">
        <v>4</v>
      </c>
      <c r="Z47" s="59" t="s">
        <v>4</v>
      </c>
      <c r="AA47" s="59" t="s">
        <v>4</v>
      </c>
      <c r="AB47" s="59" t="s">
        <v>4</v>
      </c>
      <c r="AC47" s="45">
        <f t="shared" si="3"/>
        <v>1.000000000000002</v>
      </c>
      <c r="AD47" s="59" t="s">
        <v>4</v>
      </c>
      <c r="AE47" s="59" t="s">
        <v>4</v>
      </c>
      <c r="AF47" s="97">
        <f t="shared" si="4"/>
        <v>1</v>
      </c>
      <c r="AG47" s="44">
        <f t="shared" si="5"/>
        <v>1.0000000000000004</v>
      </c>
      <c r="AH47" s="55">
        <f t="shared" si="6"/>
        <v>0</v>
      </c>
      <c r="AI47" s="55">
        <f>COUNTIF('Score BD'!$M47:$P47,"no")</f>
        <v>0</v>
      </c>
      <c r="AJ47" s="55">
        <f t="shared" si="7"/>
        <v>0</v>
      </c>
      <c r="AK47" s="55">
        <f t="shared" si="8"/>
        <v>0</v>
      </c>
      <c r="AL47" s="55">
        <f t="shared" si="9"/>
        <v>0</v>
      </c>
      <c r="AM47" s="59" t="s">
        <v>355</v>
      </c>
      <c r="AN47" s="46"/>
      <c r="AO47" s="43"/>
      <c r="AP47" s="43"/>
      <c r="AQ47" s="59" t="str">
        <f>IFERROR(_xlfn.XLOOKUP(Tabla1[[#This Row],[Cedula agente]],Lista!$B$2:$B$97,Lista!$G$2:$G$97)," ")</f>
        <v>Luisa Fernanda Benavides Castrillon</v>
      </c>
      <c r="AR47" s="59" t="s">
        <v>162</v>
      </c>
      <c r="AS47" s="55" t="str">
        <f>IFERROR(_xlfn.XLOOKUP(Tabla1[[#This Row],[Cedula agente]],Lista!$B$2:$B$97,Lista!$F$2:$F$97)," ")</f>
        <v>John Sebastian Roncancio Avendaño</v>
      </c>
      <c r="AT47" s="99">
        <v>0.95</v>
      </c>
      <c r="AU47" s="200">
        <f>+WEEKNUM('Score BD'!$H47)-WEEKNUM(DATE(YEAR('Score BD'!$H47),MONTH('Score BD'!$H47),1))+1</f>
        <v>2</v>
      </c>
    </row>
    <row r="48" spans="1:47" ht="17.45" customHeight="1" x14ac:dyDescent="0.3">
      <c r="A48" s="49" t="str">
        <f t="shared" si="10"/>
        <v>Ministerio de Educación Nacional</v>
      </c>
      <c r="B48" s="50">
        <f>+IFERROR(COUNTIF($J$3:J48,J48)," ")</f>
        <v>4</v>
      </c>
      <c r="C48" s="54" t="str">
        <f>+'Score BD'!$J48&amp;'Score BD'!$B48</f>
        <v>Maira Alejandra Rodriguez Losada4</v>
      </c>
      <c r="D48" s="91" t="s">
        <v>148</v>
      </c>
      <c r="E48" s="92" t="s">
        <v>164</v>
      </c>
      <c r="F48" s="92" t="s">
        <v>212</v>
      </c>
      <c r="G48" s="60" t="str">
        <f t="shared" si="0"/>
        <v>Noviembre</v>
      </c>
      <c r="H48" s="93">
        <v>45967</v>
      </c>
      <c r="I48" s="155">
        <v>45966</v>
      </c>
      <c r="J48" s="57" t="s">
        <v>204</v>
      </c>
      <c r="K48" s="54">
        <f>IFERROR(VLOOKUP('Score BD'!$J48,Lista!A:B,2,0)," ")</f>
        <v>1075224344</v>
      </c>
      <c r="L48" s="61" t="s">
        <v>291</v>
      </c>
      <c r="M48" s="59" t="s">
        <v>4</v>
      </c>
      <c r="N48" s="59" t="s">
        <v>4</v>
      </c>
      <c r="O48" s="59" t="s">
        <v>4</v>
      </c>
      <c r="P48" s="59" t="s">
        <v>4</v>
      </c>
      <c r="Q48" s="96">
        <f t="shared" si="1"/>
        <v>1</v>
      </c>
      <c r="R48" s="59" t="s">
        <v>4</v>
      </c>
      <c r="S48" s="59" t="s">
        <v>4</v>
      </c>
      <c r="T48" s="59" t="s">
        <v>4</v>
      </c>
      <c r="U48" s="59" t="s">
        <v>4</v>
      </c>
      <c r="V48" s="45">
        <f t="shared" si="2"/>
        <v>1</v>
      </c>
      <c r="W48" s="59" t="s">
        <v>4</v>
      </c>
      <c r="X48" s="59" t="s">
        <v>4</v>
      </c>
      <c r="Y48" s="59" t="s">
        <v>4</v>
      </c>
      <c r="Z48" s="59" t="s">
        <v>4</v>
      </c>
      <c r="AA48" s="59" t="s">
        <v>4</v>
      </c>
      <c r="AB48" s="59" t="s">
        <v>4</v>
      </c>
      <c r="AC48" s="45">
        <f t="shared" si="3"/>
        <v>1.000000000000002</v>
      </c>
      <c r="AD48" s="59" t="s">
        <v>4</v>
      </c>
      <c r="AE48" s="59" t="s">
        <v>4</v>
      </c>
      <c r="AF48" s="97">
        <f t="shared" si="4"/>
        <v>1</v>
      </c>
      <c r="AG48" s="44">
        <f t="shared" si="5"/>
        <v>1.0000000000000004</v>
      </c>
      <c r="AH48" s="55">
        <f t="shared" si="6"/>
        <v>0</v>
      </c>
      <c r="AI48" s="55">
        <f>COUNTIF('Score BD'!$M48:$P48,"no")</f>
        <v>0</v>
      </c>
      <c r="AJ48" s="55">
        <f t="shared" si="7"/>
        <v>0</v>
      </c>
      <c r="AK48" s="55">
        <f t="shared" si="8"/>
        <v>0</v>
      </c>
      <c r="AL48" s="55">
        <f t="shared" si="9"/>
        <v>0</v>
      </c>
      <c r="AM48" s="59" t="s">
        <v>355</v>
      </c>
      <c r="AN48" s="46"/>
      <c r="AO48" s="43"/>
      <c r="AP48" s="43"/>
      <c r="AQ48" s="59" t="str">
        <f>IFERROR(_xlfn.XLOOKUP(Tabla1[[#This Row],[Cedula agente]],Lista!$B$2:$B$97,Lista!$G$2:$G$97)," ")</f>
        <v>Luisa Fernanda Benavides Castrillon</v>
      </c>
      <c r="AR48" s="59" t="s">
        <v>162</v>
      </c>
      <c r="AS48" s="55" t="str">
        <f>IFERROR(_xlfn.XLOOKUP(Tabla1[[#This Row],[Cedula agente]],Lista!$B$2:$B$97,Lista!$F$2:$F$97)," ")</f>
        <v>John Sebastian Roncancio Avendaño</v>
      </c>
      <c r="AT48" s="99">
        <v>0.95</v>
      </c>
      <c r="AU48" s="200">
        <f>+WEEKNUM('Score BD'!$H48)-WEEKNUM(DATE(YEAR('Score BD'!$H48),MONTH('Score BD'!$H48),1))+1</f>
        <v>2</v>
      </c>
    </row>
    <row r="49" spans="1:47" ht="17.45" customHeight="1" x14ac:dyDescent="0.3">
      <c r="A49" s="49" t="str">
        <f t="shared" si="10"/>
        <v>Ministerio de Educación Nacional</v>
      </c>
      <c r="B49" s="50">
        <f>+IFERROR(COUNTIF($J$3:J49,J49)," ")</f>
        <v>3</v>
      </c>
      <c r="C49" s="54" t="str">
        <f>+'Score BD'!$J49&amp;'Score BD'!$B49</f>
        <v>María José Uribe Medina3</v>
      </c>
      <c r="D49" s="91" t="s">
        <v>148</v>
      </c>
      <c r="E49" s="92" t="s">
        <v>164</v>
      </c>
      <c r="F49" s="92" t="s">
        <v>212</v>
      </c>
      <c r="G49" s="60" t="str">
        <f t="shared" si="0"/>
        <v>Noviembre</v>
      </c>
      <c r="H49" s="93">
        <v>45967</v>
      </c>
      <c r="I49" s="155">
        <v>45966</v>
      </c>
      <c r="J49" s="57" t="s">
        <v>205</v>
      </c>
      <c r="K49" s="54">
        <f>IFERROR(VLOOKUP('Score BD'!$J49,Lista!A:B,2,0)," ")</f>
        <v>1121919150</v>
      </c>
      <c r="L49" s="61" t="s">
        <v>292</v>
      </c>
      <c r="M49" s="59" t="s">
        <v>4</v>
      </c>
      <c r="N49" s="59" t="s">
        <v>4</v>
      </c>
      <c r="O49" s="59" t="s">
        <v>4</v>
      </c>
      <c r="P49" s="59" t="s">
        <v>4</v>
      </c>
      <c r="Q49" s="96">
        <f t="shared" si="1"/>
        <v>1</v>
      </c>
      <c r="R49" s="59" t="s">
        <v>4</v>
      </c>
      <c r="S49" s="59" t="s">
        <v>4</v>
      </c>
      <c r="T49" s="59" t="s">
        <v>4</v>
      </c>
      <c r="U49" s="59" t="s">
        <v>4</v>
      </c>
      <c r="V49" s="45">
        <f t="shared" si="2"/>
        <v>1</v>
      </c>
      <c r="W49" s="59" t="s">
        <v>4</v>
      </c>
      <c r="X49" s="59" t="s">
        <v>4</v>
      </c>
      <c r="Y49" s="59" t="s">
        <v>4</v>
      </c>
      <c r="Z49" s="59" t="s">
        <v>4</v>
      </c>
      <c r="AA49" s="59" t="s">
        <v>4</v>
      </c>
      <c r="AB49" s="59" t="s">
        <v>4</v>
      </c>
      <c r="AC49" s="45">
        <f t="shared" si="3"/>
        <v>1.000000000000002</v>
      </c>
      <c r="AD49" s="59" t="s">
        <v>4</v>
      </c>
      <c r="AE49" s="59" t="s">
        <v>4</v>
      </c>
      <c r="AF49" s="97">
        <f t="shared" si="4"/>
        <v>1</v>
      </c>
      <c r="AG49" s="44">
        <f t="shared" si="5"/>
        <v>1.0000000000000004</v>
      </c>
      <c r="AH49" s="55">
        <f t="shared" si="6"/>
        <v>0</v>
      </c>
      <c r="AI49" s="55">
        <f>COUNTIF('Score BD'!$M49:$P49,"no")</f>
        <v>0</v>
      </c>
      <c r="AJ49" s="55">
        <f t="shared" si="7"/>
        <v>0</v>
      </c>
      <c r="AK49" s="55">
        <f t="shared" si="8"/>
        <v>0</v>
      </c>
      <c r="AL49" s="55">
        <f t="shared" si="9"/>
        <v>0</v>
      </c>
      <c r="AM49" s="59" t="s">
        <v>355</v>
      </c>
      <c r="AN49" s="46"/>
      <c r="AO49" s="43"/>
      <c r="AP49" s="43"/>
      <c r="AQ49" s="59" t="str">
        <f>IFERROR(_xlfn.XLOOKUP(Tabla1[[#This Row],[Cedula agente]],Lista!$B$2:$B$97,Lista!$G$2:$G$97)," ")</f>
        <v>Luisa Fernanda Benavides Castrillon</v>
      </c>
      <c r="AR49" s="59" t="s">
        <v>162</v>
      </c>
      <c r="AS49" s="55" t="str">
        <f>IFERROR(_xlfn.XLOOKUP(Tabla1[[#This Row],[Cedula agente]],Lista!$B$2:$B$97,Lista!$F$2:$F$97)," ")</f>
        <v>John Sebastian Roncancio Avendaño</v>
      </c>
      <c r="AT49" s="99">
        <v>0.95</v>
      </c>
      <c r="AU49" s="200">
        <f>+WEEKNUM('Score BD'!$H49)-WEEKNUM(DATE(YEAR('Score BD'!$H49),MONTH('Score BD'!$H49),1))+1</f>
        <v>2</v>
      </c>
    </row>
    <row r="50" spans="1:47" ht="17.45" customHeight="1" x14ac:dyDescent="0.3">
      <c r="A50" s="49" t="str">
        <f t="shared" si="10"/>
        <v>Ministerio de Educación Nacional</v>
      </c>
      <c r="B50" s="50">
        <f>+IFERROR(COUNTIF($J$3:J50,J50)," ")</f>
        <v>4</v>
      </c>
      <c r="C50" s="54" t="str">
        <f>+'Score BD'!$J50&amp;'Score BD'!$B50</f>
        <v>María José Uribe Medina4</v>
      </c>
      <c r="D50" s="91" t="s">
        <v>148</v>
      </c>
      <c r="E50" s="92" t="s">
        <v>164</v>
      </c>
      <c r="F50" s="92" t="s">
        <v>212</v>
      </c>
      <c r="G50" s="60" t="str">
        <f t="shared" si="0"/>
        <v>Noviembre</v>
      </c>
      <c r="H50" s="93">
        <v>45967</v>
      </c>
      <c r="I50" s="155">
        <v>45966</v>
      </c>
      <c r="J50" s="57" t="s">
        <v>205</v>
      </c>
      <c r="K50" s="54">
        <f>IFERROR(VLOOKUP('Score BD'!$J50,Lista!A:B,2,0)," ")</f>
        <v>1121919150</v>
      </c>
      <c r="L50" s="61" t="s">
        <v>293</v>
      </c>
      <c r="M50" s="59" t="s">
        <v>4</v>
      </c>
      <c r="N50" s="59" t="s">
        <v>4</v>
      </c>
      <c r="O50" s="59" t="s">
        <v>4</v>
      </c>
      <c r="P50" s="59" t="s">
        <v>4</v>
      </c>
      <c r="Q50" s="96">
        <f t="shared" si="1"/>
        <v>1</v>
      </c>
      <c r="R50" s="59" t="s">
        <v>4</v>
      </c>
      <c r="S50" s="59" t="s">
        <v>4</v>
      </c>
      <c r="T50" s="59" t="s">
        <v>4</v>
      </c>
      <c r="U50" s="59" t="s">
        <v>4</v>
      </c>
      <c r="V50" s="45">
        <f t="shared" si="2"/>
        <v>1</v>
      </c>
      <c r="W50" s="59" t="s">
        <v>4</v>
      </c>
      <c r="X50" s="59" t="s">
        <v>4</v>
      </c>
      <c r="Y50" s="59" t="s">
        <v>4</v>
      </c>
      <c r="Z50" s="59" t="s">
        <v>4</v>
      </c>
      <c r="AA50" s="59" t="s">
        <v>4</v>
      </c>
      <c r="AB50" s="59" t="s">
        <v>4</v>
      </c>
      <c r="AC50" s="45">
        <f t="shared" si="3"/>
        <v>1.000000000000002</v>
      </c>
      <c r="AD50" s="59" t="s">
        <v>4</v>
      </c>
      <c r="AE50" s="59" t="s">
        <v>4</v>
      </c>
      <c r="AF50" s="97">
        <f t="shared" si="4"/>
        <v>1</v>
      </c>
      <c r="AG50" s="44">
        <f t="shared" si="5"/>
        <v>1.0000000000000004</v>
      </c>
      <c r="AH50" s="55">
        <f t="shared" si="6"/>
        <v>0</v>
      </c>
      <c r="AI50" s="55">
        <f>COUNTIF('Score BD'!$M50:$P50,"no")</f>
        <v>0</v>
      </c>
      <c r="AJ50" s="55">
        <f t="shared" si="7"/>
        <v>0</v>
      </c>
      <c r="AK50" s="55">
        <f t="shared" si="8"/>
        <v>0</v>
      </c>
      <c r="AL50" s="55">
        <f t="shared" si="9"/>
        <v>0</v>
      </c>
      <c r="AM50" s="59" t="s">
        <v>355</v>
      </c>
      <c r="AN50" s="46"/>
      <c r="AO50" s="43"/>
      <c r="AP50" s="43"/>
      <c r="AQ50" s="59" t="str">
        <f>IFERROR(_xlfn.XLOOKUP(Tabla1[[#This Row],[Cedula agente]],Lista!$B$2:$B$97,Lista!$G$2:$G$97)," ")</f>
        <v>Luisa Fernanda Benavides Castrillon</v>
      </c>
      <c r="AR50" s="59" t="s">
        <v>162</v>
      </c>
      <c r="AS50" s="55" t="str">
        <f>IFERROR(_xlfn.XLOOKUP(Tabla1[[#This Row],[Cedula agente]],Lista!$B$2:$B$97,Lista!$F$2:$F$97)," ")</f>
        <v>John Sebastian Roncancio Avendaño</v>
      </c>
      <c r="AT50" s="99">
        <v>0.95</v>
      </c>
      <c r="AU50" s="200">
        <f>+WEEKNUM('Score BD'!$H50)-WEEKNUM(DATE(YEAR('Score BD'!$H50),MONTH('Score BD'!$H50),1))+1</f>
        <v>2</v>
      </c>
    </row>
    <row r="51" spans="1:47" ht="17.45" customHeight="1" x14ac:dyDescent="0.3">
      <c r="A51" s="49" t="str">
        <f t="shared" si="10"/>
        <v>Ministerio de Educación Nacional</v>
      </c>
      <c r="B51" s="50">
        <f>+IFERROR(COUNTIF($J$3:J51,J51)," ")</f>
        <v>3</v>
      </c>
      <c r="C51" s="54" t="str">
        <f>+'Score BD'!$J51&amp;'Score BD'!$B51</f>
        <v>Natalia Cañón Betancourt3</v>
      </c>
      <c r="D51" s="91" t="s">
        <v>148</v>
      </c>
      <c r="E51" s="92" t="s">
        <v>164</v>
      </c>
      <c r="F51" s="92" t="s">
        <v>212</v>
      </c>
      <c r="G51" s="60" t="str">
        <f t="shared" si="0"/>
        <v>Noviembre</v>
      </c>
      <c r="H51" s="93">
        <v>45967</v>
      </c>
      <c r="I51" s="155">
        <v>45966</v>
      </c>
      <c r="J51" s="57" t="s">
        <v>181</v>
      </c>
      <c r="K51" s="54">
        <f>IFERROR(VLOOKUP('Score BD'!$J51,Lista!A:B,2,0)," ")</f>
        <v>1000383417</v>
      </c>
      <c r="L51" s="61" t="s">
        <v>294</v>
      </c>
      <c r="M51" s="59" t="s">
        <v>4</v>
      </c>
      <c r="N51" s="59" t="s">
        <v>4</v>
      </c>
      <c r="O51" s="59" t="s">
        <v>4</v>
      </c>
      <c r="P51" s="59" t="s">
        <v>4</v>
      </c>
      <c r="Q51" s="96">
        <f t="shared" si="1"/>
        <v>1</v>
      </c>
      <c r="R51" s="59" t="s">
        <v>4</v>
      </c>
      <c r="S51" s="59" t="s">
        <v>4</v>
      </c>
      <c r="T51" s="59" t="s">
        <v>4</v>
      </c>
      <c r="U51" s="59" t="s">
        <v>4</v>
      </c>
      <c r="V51" s="45">
        <f t="shared" si="2"/>
        <v>1</v>
      </c>
      <c r="W51" s="59" t="s">
        <v>4</v>
      </c>
      <c r="X51" s="59" t="s">
        <v>4</v>
      </c>
      <c r="Y51" s="59" t="s">
        <v>4</v>
      </c>
      <c r="Z51" s="59" t="s">
        <v>4</v>
      </c>
      <c r="AA51" s="59" t="s">
        <v>4</v>
      </c>
      <c r="AB51" s="59" t="s">
        <v>4</v>
      </c>
      <c r="AC51" s="45">
        <f t="shared" si="3"/>
        <v>1.000000000000002</v>
      </c>
      <c r="AD51" s="59" t="s">
        <v>4</v>
      </c>
      <c r="AE51" s="59" t="s">
        <v>4</v>
      </c>
      <c r="AF51" s="97">
        <f t="shared" si="4"/>
        <v>1</v>
      </c>
      <c r="AG51" s="44">
        <f t="shared" si="5"/>
        <v>1.0000000000000004</v>
      </c>
      <c r="AH51" s="55">
        <f t="shared" si="6"/>
        <v>0</v>
      </c>
      <c r="AI51" s="55">
        <f>COUNTIF('Score BD'!$M51:$P51,"no")</f>
        <v>0</v>
      </c>
      <c r="AJ51" s="55">
        <f t="shared" si="7"/>
        <v>0</v>
      </c>
      <c r="AK51" s="55">
        <f t="shared" si="8"/>
        <v>0</v>
      </c>
      <c r="AL51" s="55">
        <f t="shared" si="9"/>
        <v>0</v>
      </c>
      <c r="AM51" s="59" t="s">
        <v>355</v>
      </c>
      <c r="AN51" s="46"/>
      <c r="AO51" s="43"/>
      <c r="AP51" s="43"/>
      <c r="AQ51" s="59" t="str">
        <f>IFERROR(_xlfn.XLOOKUP(Tabla1[[#This Row],[Cedula agente]],Lista!$B$2:$B$97,Lista!$G$2:$G$97)," ")</f>
        <v>Luisa Fernanda Benavides Castrillon</v>
      </c>
      <c r="AR51" s="59" t="s">
        <v>162</v>
      </c>
      <c r="AS51" s="55" t="str">
        <f>IFERROR(_xlfn.XLOOKUP(Tabla1[[#This Row],[Cedula agente]],Lista!$B$2:$B$97,Lista!$F$2:$F$97)," ")</f>
        <v>John Sebastian Roncancio Avendaño</v>
      </c>
      <c r="AT51" s="99">
        <v>0.95</v>
      </c>
      <c r="AU51" s="200">
        <f>+WEEKNUM('Score BD'!$H51)-WEEKNUM(DATE(YEAR('Score BD'!$H51),MONTH('Score BD'!$H51),1))+1</f>
        <v>2</v>
      </c>
    </row>
    <row r="52" spans="1:47" ht="17.45" customHeight="1" x14ac:dyDescent="0.3">
      <c r="A52" s="49" t="str">
        <f t="shared" si="10"/>
        <v>Ministerio de Educación Nacional</v>
      </c>
      <c r="B52" s="50">
        <f>+IFERROR(COUNTIF($J$3:J52,J52)," ")</f>
        <v>4</v>
      </c>
      <c r="C52" s="54" t="str">
        <f>+'Score BD'!$J52&amp;'Score BD'!$B52</f>
        <v>Natalia Cañón Betancourt4</v>
      </c>
      <c r="D52" s="91" t="s">
        <v>148</v>
      </c>
      <c r="E52" s="92" t="s">
        <v>164</v>
      </c>
      <c r="F52" s="92" t="s">
        <v>212</v>
      </c>
      <c r="G52" s="60" t="str">
        <f t="shared" si="0"/>
        <v>Noviembre</v>
      </c>
      <c r="H52" s="93">
        <v>45967</v>
      </c>
      <c r="I52" s="155">
        <v>45966</v>
      </c>
      <c r="J52" s="57" t="s">
        <v>181</v>
      </c>
      <c r="K52" s="54">
        <f>IFERROR(VLOOKUP('Score BD'!$J52,Lista!A:B,2,0)," ")</f>
        <v>1000383417</v>
      </c>
      <c r="L52" s="61" t="s">
        <v>295</v>
      </c>
      <c r="M52" s="59" t="s">
        <v>4</v>
      </c>
      <c r="N52" s="59" t="s">
        <v>4</v>
      </c>
      <c r="O52" s="59" t="s">
        <v>4</v>
      </c>
      <c r="P52" s="59" t="s">
        <v>4</v>
      </c>
      <c r="Q52" s="96">
        <f t="shared" si="1"/>
        <v>1</v>
      </c>
      <c r="R52" s="59" t="s">
        <v>4</v>
      </c>
      <c r="S52" s="59" t="s">
        <v>4</v>
      </c>
      <c r="T52" s="59" t="s">
        <v>4</v>
      </c>
      <c r="U52" s="59" t="s">
        <v>4</v>
      </c>
      <c r="V52" s="45">
        <f t="shared" si="2"/>
        <v>1</v>
      </c>
      <c r="W52" s="59" t="s">
        <v>4</v>
      </c>
      <c r="X52" s="59" t="s">
        <v>4</v>
      </c>
      <c r="Y52" s="59" t="s">
        <v>4</v>
      </c>
      <c r="Z52" s="59" t="s">
        <v>4</v>
      </c>
      <c r="AA52" s="59" t="s">
        <v>4</v>
      </c>
      <c r="AB52" s="59" t="s">
        <v>4</v>
      </c>
      <c r="AC52" s="45">
        <f t="shared" si="3"/>
        <v>1.000000000000002</v>
      </c>
      <c r="AD52" s="59" t="s">
        <v>4</v>
      </c>
      <c r="AE52" s="59" t="s">
        <v>4</v>
      </c>
      <c r="AF52" s="97">
        <f t="shared" si="4"/>
        <v>1</v>
      </c>
      <c r="AG52" s="44">
        <f t="shared" si="5"/>
        <v>1.0000000000000004</v>
      </c>
      <c r="AH52" s="55">
        <f t="shared" si="6"/>
        <v>0</v>
      </c>
      <c r="AI52" s="55">
        <f>COUNTIF('Score BD'!$M52:$P52,"no")</f>
        <v>0</v>
      </c>
      <c r="AJ52" s="55">
        <f t="shared" si="7"/>
        <v>0</v>
      </c>
      <c r="AK52" s="55">
        <f t="shared" si="8"/>
        <v>0</v>
      </c>
      <c r="AL52" s="55">
        <f t="shared" si="9"/>
        <v>0</v>
      </c>
      <c r="AM52" s="59" t="s">
        <v>355</v>
      </c>
      <c r="AN52" s="46"/>
      <c r="AO52" s="43"/>
      <c r="AP52" s="43"/>
      <c r="AQ52" s="59" t="str">
        <f>IFERROR(_xlfn.XLOOKUP(Tabla1[[#This Row],[Cedula agente]],Lista!$B$2:$B$97,Lista!$G$2:$G$97)," ")</f>
        <v>Luisa Fernanda Benavides Castrillon</v>
      </c>
      <c r="AR52" s="59" t="s">
        <v>162</v>
      </c>
      <c r="AS52" s="55" t="str">
        <f>IFERROR(_xlfn.XLOOKUP(Tabla1[[#This Row],[Cedula agente]],Lista!$B$2:$B$97,Lista!$F$2:$F$97)," ")</f>
        <v>John Sebastian Roncancio Avendaño</v>
      </c>
      <c r="AT52" s="99">
        <v>0.95</v>
      </c>
      <c r="AU52" s="200">
        <f>+WEEKNUM('Score BD'!$H52)-WEEKNUM(DATE(YEAR('Score BD'!$H52),MONTH('Score BD'!$H52),1))+1</f>
        <v>2</v>
      </c>
    </row>
    <row r="53" spans="1:47" ht="17.45" customHeight="1" x14ac:dyDescent="0.3">
      <c r="A53" s="49" t="str">
        <f t="shared" si="10"/>
        <v>Ministerio de Educación Nacional</v>
      </c>
      <c r="B53" s="50">
        <f>+IFERROR(COUNTIF($J$3:J53,J53)," ")</f>
        <v>2</v>
      </c>
      <c r="C53" s="54" t="str">
        <f>+'Score BD'!$J53&amp;'Score BD'!$B53</f>
        <v>Quira Alejandra Herrera Camelo2</v>
      </c>
      <c r="D53" s="91" t="s">
        <v>148</v>
      </c>
      <c r="E53" s="92" t="s">
        <v>208</v>
      </c>
      <c r="F53" s="92" t="s">
        <v>212</v>
      </c>
      <c r="G53" s="60" t="str">
        <f t="shared" si="0"/>
        <v>Noviembre</v>
      </c>
      <c r="H53" s="93">
        <v>45967</v>
      </c>
      <c r="I53" s="155">
        <v>45966</v>
      </c>
      <c r="J53" s="57" t="s">
        <v>182</v>
      </c>
      <c r="K53" s="54">
        <f>IFERROR(VLOOKUP('Score BD'!$J53,Lista!A:B,2,0)," ")</f>
        <v>1010214168</v>
      </c>
      <c r="L53" s="61" t="s">
        <v>296</v>
      </c>
      <c r="M53" s="59" t="s">
        <v>4</v>
      </c>
      <c r="N53" s="59" t="s">
        <v>4</v>
      </c>
      <c r="O53" s="59" t="s">
        <v>4</v>
      </c>
      <c r="P53" s="59" t="s">
        <v>4</v>
      </c>
      <c r="Q53" s="96">
        <f t="shared" si="1"/>
        <v>1</v>
      </c>
      <c r="R53" s="59" t="s">
        <v>4</v>
      </c>
      <c r="S53" s="59" t="s">
        <v>4</v>
      </c>
      <c r="T53" s="59" t="s">
        <v>4</v>
      </c>
      <c r="U53" s="59" t="s">
        <v>4</v>
      </c>
      <c r="V53" s="45">
        <f t="shared" si="2"/>
        <v>1</v>
      </c>
      <c r="W53" s="59" t="s">
        <v>4</v>
      </c>
      <c r="X53" s="59" t="s">
        <v>4</v>
      </c>
      <c r="Y53" s="59" t="s">
        <v>4</v>
      </c>
      <c r="Z53" s="59" t="s">
        <v>4</v>
      </c>
      <c r="AA53" s="59" t="s">
        <v>4</v>
      </c>
      <c r="AB53" s="59" t="s">
        <v>4</v>
      </c>
      <c r="AC53" s="45">
        <f t="shared" si="3"/>
        <v>1.000000000000002</v>
      </c>
      <c r="AD53" s="59" t="s">
        <v>4</v>
      </c>
      <c r="AE53" s="59" t="s">
        <v>4</v>
      </c>
      <c r="AF53" s="97">
        <f t="shared" si="4"/>
        <v>1</v>
      </c>
      <c r="AG53" s="44">
        <f t="shared" si="5"/>
        <v>1.0000000000000004</v>
      </c>
      <c r="AH53" s="55">
        <f t="shared" si="6"/>
        <v>0</v>
      </c>
      <c r="AI53" s="55">
        <f>COUNTIF('Score BD'!$M53:$P53,"no")</f>
        <v>0</v>
      </c>
      <c r="AJ53" s="55">
        <f t="shared" si="7"/>
        <v>0</v>
      </c>
      <c r="AK53" s="55">
        <f t="shared" si="8"/>
        <v>0</v>
      </c>
      <c r="AL53" s="55">
        <f t="shared" si="9"/>
        <v>0</v>
      </c>
      <c r="AM53" s="59" t="s">
        <v>355</v>
      </c>
      <c r="AN53" s="46"/>
      <c r="AO53" s="43"/>
      <c r="AP53" s="43"/>
      <c r="AQ53" s="59" t="str">
        <f>IFERROR(_xlfn.XLOOKUP(Tabla1[[#This Row],[Cedula agente]],Lista!$B$2:$B$97,Lista!$G$2:$G$97)," ")</f>
        <v>Luisa Fernanda Benavides Castrillon</v>
      </c>
      <c r="AR53" s="59" t="s">
        <v>162</v>
      </c>
      <c r="AS53" s="55" t="str">
        <f>IFERROR(_xlfn.XLOOKUP(Tabla1[[#This Row],[Cedula agente]],Lista!$B$2:$B$97,Lista!$F$2:$F$97)," ")</f>
        <v>John Sebastian Roncancio Avendaño</v>
      </c>
      <c r="AT53" s="99">
        <v>0.95</v>
      </c>
      <c r="AU53" s="200">
        <f>+WEEKNUM('Score BD'!$H53)-WEEKNUM(DATE(YEAR('Score BD'!$H53),MONTH('Score BD'!$H53),1))+1</f>
        <v>2</v>
      </c>
    </row>
    <row r="54" spans="1:47" ht="17.45" customHeight="1" x14ac:dyDescent="0.3">
      <c r="A54" s="49" t="str">
        <f t="shared" si="10"/>
        <v>Ministerio de Educación Nacional</v>
      </c>
      <c r="B54" s="50">
        <f>+IFERROR(COUNTIF($J$3:J54,J54)," ")</f>
        <v>2</v>
      </c>
      <c r="C54" s="54" t="str">
        <f>+'Score BD'!$J54&amp;'Score BD'!$B54</f>
        <v>Valentina Castillo Rondón2</v>
      </c>
      <c r="D54" s="91" t="s">
        <v>148</v>
      </c>
      <c r="E54" s="92" t="s">
        <v>165</v>
      </c>
      <c r="F54" s="92" t="s">
        <v>212</v>
      </c>
      <c r="G54" s="60" t="str">
        <f t="shared" si="0"/>
        <v>Noviembre</v>
      </c>
      <c r="H54" s="93">
        <v>45967</v>
      </c>
      <c r="I54" s="155">
        <v>45966</v>
      </c>
      <c r="J54" s="57" t="s">
        <v>183</v>
      </c>
      <c r="K54" s="54">
        <f>IFERROR(VLOOKUP('Score BD'!$J54,Lista!A:B,2,0)," ")</f>
        <v>1121950095</v>
      </c>
      <c r="L54" s="61" t="s">
        <v>297</v>
      </c>
      <c r="M54" s="59" t="s">
        <v>4</v>
      </c>
      <c r="N54" s="59" t="s">
        <v>4</v>
      </c>
      <c r="O54" s="59" t="s">
        <v>4</v>
      </c>
      <c r="P54" s="59" t="s">
        <v>4</v>
      </c>
      <c r="Q54" s="96">
        <f t="shared" si="1"/>
        <v>1</v>
      </c>
      <c r="R54" s="59" t="s">
        <v>4</v>
      </c>
      <c r="S54" s="59" t="s">
        <v>4</v>
      </c>
      <c r="T54" s="59" t="s">
        <v>4</v>
      </c>
      <c r="U54" s="59" t="s">
        <v>4</v>
      </c>
      <c r="V54" s="45">
        <f t="shared" si="2"/>
        <v>1</v>
      </c>
      <c r="W54" s="59" t="s">
        <v>4</v>
      </c>
      <c r="X54" s="59" t="s">
        <v>4</v>
      </c>
      <c r="Y54" s="59" t="s">
        <v>4</v>
      </c>
      <c r="Z54" s="59" t="s">
        <v>4</v>
      </c>
      <c r="AA54" s="59" t="s">
        <v>4</v>
      </c>
      <c r="AB54" s="59" t="s">
        <v>4</v>
      </c>
      <c r="AC54" s="45">
        <f t="shared" si="3"/>
        <v>1.000000000000002</v>
      </c>
      <c r="AD54" s="59" t="s">
        <v>4</v>
      </c>
      <c r="AE54" s="59" t="s">
        <v>4</v>
      </c>
      <c r="AF54" s="97">
        <f t="shared" si="4"/>
        <v>1</v>
      </c>
      <c r="AG54" s="44">
        <f t="shared" si="5"/>
        <v>1.0000000000000004</v>
      </c>
      <c r="AH54" s="55">
        <f t="shared" si="6"/>
        <v>0</v>
      </c>
      <c r="AI54" s="55">
        <f>COUNTIF('Score BD'!$M54:$P54,"no")</f>
        <v>0</v>
      </c>
      <c r="AJ54" s="55">
        <f t="shared" si="7"/>
        <v>0</v>
      </c>
      <c r="AK54" s="55">
        <f t="shared" si="8"/>
        <v>0</v>
      </c>
      <c r="AL54" s="55">
        <f t="shared" si="9"/>
        <v>0</v>
      </c>
      <c r="AM54" s="59" t="s">
        <v>355</v>
      </c>
      <c r="AN54" s="46"/>
      <c r="AO54" s="43"/>
      <c r="AP54" s="43"/>
      <c r="AQ54" s="59" t="str">
        <f>IFERROR(_xlfn.XLOOKUP(Tabla1[[#This Row],[Cedula agente]],Lista!$B$2:$B$97,Lista!$G$2:$G$97)," ")</f>
        <v>Luisa Fernanda Benavides Castrillon</v>
      </c>
      <c r="AR54" s="59" t="s">
        <v>162</v>
      </c>
      <c r="AS54" s="55" t="str">
        <f>IFERROR(_xlfn.XLOOKUP(Tabla1[[#This Row],[Cedula agente]],Lista!$B$2:$B$97,Lista!$F$2:$F$97)," ")</f>
        <v>John Sebastian Roncancio Avendaño</v>
      </c>
      <c r="AT54" s="99">
        <v>0.95</v>
      </c>
      <c r="AU54" s="200">
        <f>+WEEKNUM('Score BD'!$H54)-WEEKNUM(DATE(YEAR('Score BD'!$H54),MONTH('Score BD'!$H54),1))+1</f>
        <v>2</v>
      </c>
    </row>
    <row r="55" spans="1:47" ht="17.45" customHeight="1" x14ac:dyDescent="0.3">
      <c r="A55" s="49" t="str">
        <f t="shared" si="10"/>
        <v>Ministerio de Educación Nacional</v>
      </c>
      <c r="B55" s="50">
        <f>+IFERROR(COUNTIF($J$3:J55,J55)," ")</f>
        <v>3</v>
      </c>
      <c r="C55" s="54" t="str">
        <f>+'Score BD'!$J55&amp;'Score BD'!$B55</f>
        <v>Yenny Maribel Duran Ovejero3</v>
      </c>
      <c r="D55" s="91" t="s">
        <v>148</v>
      </c>
      <c r="E55" s="92" t="s">
        <v>165</v>
      </c>
      <c r="F55" s="92" t="s">
        <v>212</v>
      </c>
      <c r="G55" s="60" t="str">
        <f t="shared" si="0"/>
        <v>Noviembre</v>
      </c>
      <c r="H55" s="93">
        <v>45967</v>
      </c>
      <c r="I55" s="155">
        <v>45966</v>
      </c>
      <c r="J55" s="57" t="s">
        <v>206</v>
      </c>
      <c r="K55" s="54">
        <f>IFERROR(VLOOKUP('Score BD'!$J55,Lista!A:B,2,0)," ")</f>
        <v>52962387</v>
      </c>
      <c r="L55" s="61" t="s">
        <v>298</v>
      </c>
      <c r="M55" s="59" t="s">
        <v>4</v>
      </c>
      <c r="N55" s="59" t="s">
        <v>4</v>
      </c>
      <c r="O55" s="59" t="s">
        <v>4</v>
      </c>
      <c r="P55" s="59" t="s">
        <v>4</v>
      </c>
      <c r="Q55" s="96">
        <f t="shared" si="1"/>
        <v>1</v>
      </c>
      <c r="R55" s="59" t="s">
        <v>4</v>
      </c>
      <c r="S55" s="59" t="s">
        <v>4</v>
      </c>
      <c r="T55" s="59" t="s">
        <v>4</v>
      </c>
      <c r="U55" s="59" t="s">
        <v>4</v>
      </c>
      <c r="V55" s="45">
        <f t="shared" si="2"/>
        <v>1</v>
      </c>
      <c r="W55" s="59" t="s">
        <v>4</v>
      </c>
      <c r="X55" s="59" t="s">
        <v>4</v>
      </c>
      <c r="Y55" s="59" t="s">
        <v>4</v>
      </c>
      <c r="Z55" s="59" t="s">
        <v>4</v>
      </c>
      <c r="AA55" s="59" t="s">
        <v>4</v>
      </c>
      <c r="AB55" s="59" t="s">
        <v>4</v>
      </c>
      <c r="AC55" s="45">
        <f t="shared" si="3"/>
        <v>1.000000000000002</v>
      </c>
      <c r="AD55" s="59" t="s">
        <v>4</v>
      </c>
      <c r="AE55" s="59" t="s">
        <v>4</v>
      </c>
      <c r="AF55" s="97">
        <f t="shared" si="4"/>
        <v>1</v>
      </c>
      <c r="AG55" s="44">
        <f t="shared" si="5"/>
        <v>1.0000000000000004</v>
      </c>
      <c r="AH55" s="55">
        <f t="shared" si="6"/>
        <v>0</v>
      </c>
      <c r="AI55" s="55">
        <f>COUNTIF('Score BD'!$M55:$P55,"no")</f>
        <v>0</v>
      </c>
      <c r="AJ55" s="55">
        <f t="shared" si="7"/>
        <v>0</v>
      </c>
      <c r="AK55" s="55">
        <f t="shared" si="8"/>
        <v>0</v>
      </c>
      <c r="AL55" s="64">
        <f t="shared" si="9"/>
        <v>0</v>
      </c>
      <c r="AM55" s="59" t="s">
        <v>355</v>
      </c>
      <c r="AN55" s="46"/>
      <c r="AO55" s="43"/>
      <c r="AP55" s="43"/>
      <c r="AQ55" s="59" t="str">
        <f>IFERROR(_xlfn.XLOOKUP(Tabla1[[#This Row],[Cedula agente]],Lista!$B$2:$B$97,Lista!$G$2:$G$97)," ")</f>
        <v>Luisa Fernanda Benavides Castrillon</v>
      </c>
      <c r="AR55" s="59" t="s">
        <v>162</v>
      </c>
      <c r="AS55" s="55" t="str">
        <f>IFERROR(_xlfn.XLOOKUP(Tabla1[[#This Row],[Cedula agente]],Lista!$B$2:$B$97,Lista!$F$2:$F$97)," ")</f>
        <v>John Sebastian Roncancio Avendaño</v>
      </c>
      <c r="AT55" s="99">
        <v>0.95</v>
      </c>
      <c r="AU55" s="200">
        <f>+WEEKNUM('Score BD'!$H55)-WEEKNUM(DATE(YEAR('Score BD'!$H55),MONTH('Score BD'!$H55),1))+1</f>
        <v>2</v>
      </c>
    </row>
    <row r="56" spans="1:47" ht="17.45" customHeight="1" x14ac:dyDescent="0.3">
      <c r="A56" s="49" t="str">
        <f t="shared" si="10"/>
        <v>Ministerio de Educación Nacional</v>
      </c>
      <c r="B56" s="50">
        <f>+IFERROR(COUNTIF($J$3:J56,J56)," ")</f>
        <v>6</v>
      </c>
      <c r="C56" s="54" t="str">
        <f>+'Score BD'!$J56&amp;'Score BD'!$B56</f>
        <v>Ana Graciela Barbosa Villalobos6</v>
      </c>
      <c r="D56" s="91" t="s">
        <v>148</v>
      </c>
      <c r="E56" s="92" t="s">
        <v>210</v>
      </c>
      <c r="F56" s="92" t="s">
        <v>212</v>
      </c>
      <c r="G56" s="60" t="str">
        <f t="shared" si="0"/>
        <v>Noviembre</v>
      </c>
      <c r="H56" s="65">
        <v>45968</v>
      </c>
      <c r="I56" s="155">
        <v>45967</v>
      </c>
      <c r="J56" s="57" t="s">
        <v>171</v>
      </c>
      <c r="K56" s="54">
        <f>IFERROR(VLOOKUP('Score BD'!$J56,Lista!A:B,2,0)," ")</f>
        <v>1026264261</v>
      </c>
      <c r="L56" s="61" t="s">
        <v>299</v>
      </c>
      <c r="M56" s="59" t="s">
        <v>4</v>
      </c>
      <c r="N56" s="59" t="s">
        <v>4</v>
      </c>
      <c r="O56" s="59" t="s">
        <v>4</v>
      </c>
      <c r="P56" s="59" t="s">
        <v>4</v>
      </c>
      <c r="Q56" s="96">
        <f t="shared" si="1"/>
        <v>1</v>
      </c>
      <c r="R56" s="59" t="s">
        <v>4</v>
      </c>
      <c r="S56" s="59" t="s">
        <v>4</v>
      </c>
      <c r="T56" s="59" t="s">
        <v>4</v>
      </c>
      <c r="U56" s="59" t="s">
        <v>4</v>
      </c>
      <c r="V56" s="45">
        <f t="shared" si="2"/>
        <v>1</v>
      </c>
      <c r="W56" s="59" t="s">
        <v>4</v>
      </c>
      <c r="X56" s="59" t="s">
        <v>4</v>
      </c>
      <c r="Y56" s="59" t="s">
        <v>4</v>
      </c>
      <c r="Z56" s="59" t="s">
        <v>4</v>
      </c>
      <c r="AA56" s="59" t="s">
        <v>4</v>
      </c>
      <c r="AB56" s="59" t="s">
        <v>4</v>
      </c>
      <c r="AC56" s="45">
        <f t="shared" si="3"/>
        <v>1.000000000000002</v>
      </c>
      <c r="AD56" s="59" t="s">
        <v>4</v>
      </c>
      <c r="AE56" s="59" t="s">
        <v>4</v>
      </c>
      <c r="AF56" s="97">
        <f t="shared" si="4"/>
        <v>1</v>
      </c>
      <c r="AG56" s="44">
        <f t="shared" si="5"/>
        <v>1.0000000000000004</v>
      </c>
      <c r="AH56" s="55">
        <f t="shared" si="6"/>
        <v>0</v>
      </c>
      <c r="AI56" s="55">
        <f>COUNTIF('Score BD'!$M56:$P56,"no")</f>
        <v>0</v>
      </c>
      <c r="AJ56" s="55">
        <f t="shared" si="7"/>
        <v>0</v>
      </c>
      <c r="AK56" s="55">
        <f t="shared" si="8"/>
        <v>0</v>
      </c>
      <c r="AL56" s="64">
        <f t="shared" si="9"/>
        <v>0</v>
      </c>
      <c r="AM56" s="59" t="s">
        <v>356</v>
      </c>
      <c r="AN56" s="46"/>
      <c r="AO56" s="43"/>
      <c r="AP56" s="43"/>
      <c r="AQ56" s="59" t="str">
        <f>IFERROR(_xlfn.XLOOKUP(Tabla1[[#This Row],[Cedula agente]],Lista!$B$2:$B$97,Lista!$G$2:$G$97)," ")</f>
        <v>Luisa Fernanda Benavides Castrillon</v>
      </c>
      <c r="AR56" s="59" t="s">
        <v>162</v>
      </c>
      <c r="AS56" s="55" t="str">
        <f>IFERROR(_xlfn.XLOOKUP(Tabla1[[#This Row],[Cedula agente]],Lista!$B$2:$B$97,Lista!$F$2:$F$97)," ")</f>
        <v>John Sebastian Roncancio Avendaño</v>
      </c>
      <c r="AT56" s="99">
        <v>0.95</v>
      </c>
      <c r="AU56" s="200">
        <f>+WEEKNUM('Score BD'!$H56)-WEEKNUM(DATE(YEAR('Score BD'!$H56),MONTH('Score BD'!$H56),1))+1</f>
        <v>2</v>
      </c>
    </row>
    <row r="57" spans="1:47" ht="17.45" customHeight="1" x14ac:dyDescent="0.3">
      <c r="A57" s="49" t="str">
        <f t="shared" si="10"/>
        <v>Ministerio de Educación Nacional</v>
      </c>
      <c r="B57" s="50">
        <f>+IFERROR(COUNTIF($J$3:J57,J57)," ")</f>
        <v>7</v>
      </c>
      <c r="C57" s="54" t="str">
        <f>+'Score BD'!$J57&amp;'Score BD'!$B57</f>
        <v>Ana Graciela Barbosa Villalobos7</v>
      </c>
      <c r="D57" s="91" t="s">
        <v>148</v>
      </c>
      <c r="E57" s="92" t="s">
        <v>210</v>
      </c>
      <c r="F57" s="92" t="s">
        <v>212</v>
      </c>
      <c r="G57" s="60" t="str">
        <f t="shared" si="0"/>
        <v>Noviembre</v>
      </c>
      <c r="H57" s="65">
        <v>45968</v>
      </c>
      <c r="I57" s="155">
        <v>45967</v>
      </c>
      <c r="J57" s="57" t="s">
        <v>171</v>
      </c>
      <c r="K57" s="54">
        <f>IFERROR(VLOOKUP('Score BD'!$J57,Lista!A:B,2,0)," ")</f>
        <v>1026264261</v>
      </c>
      <c r="L57" s="61" t="s">
        <v>300</v>
      </c>
      <c r="M57" s="59" t="s">
        <v>4</v>
      </c>
      <c r="N57" s="59" t="s">
        <v>4</v>
      </c>
      <c r="O57" s="59" t="s">
        <v>4</v>
      </c>
      <c r="P57" s="59" t="s">
        <v>4</v>
      </c>
      <c r="Q57" s="96">
        <f t="shared" si="1"/>
        <v>1</v>
      </c>
      <c r="R57" s="59" t="s">
        <v>4</v>
      </c>
      <c r="S57" s="59" t="s">
        <v>4</v>
      </c>
      <c r="T57" s="59" t="s">
        <v>4</v>
      </c>
      <c r="U57" s="59" t="s">
        <v>4</v>
      </c>
      <c r="V57" s="45">
        <f t="shared" si="2"/>
        <v>1</v>
      </c>
      <c r="W57" s="59" t="s">
        <v>4</v>
      </c>
      <c r="X57" s="59" t="s">
        <v>4</v>
      </c>
      <c r="Y57" s="59" t="s">
        <v>4</v>
      </c>
      <c r="Z57" s="59" t="s">
        <v>4</v>
      </c>
      <c r="AA57" s="59" t="s">
        <v>4</v>
      </c>
      <c r="AB57" s="59" t="s">
        <v>4</v>
      </c>
      <c r="AC57" s="45">
        <f t="shared" si="3"/>
        <v>1.000000000000002</v>
      </c>
      <c r="AD57" s="59" t="s">
        <v>4</v>
      </c>
      <c r="AE57" s="59" t="s">
        <v>4</v>
      </c>
      <c r="AF57" s="97">
        <f t="shared" si="4"/>
        <v>1</v>
      </c>
      <c r="AG57" s="44">
        <f t="shared" si="5"/>
        <v>1.0000000000000004</v>
      </c>
      <c r="AH57" s="55">
        <f t="shared" si="6"/>
        <v>0</v>
      </c>
      <c r="AI57" s="55">
        <f>COUNTIF('Score BD'!$M57:$P57,"no")</f>
        <v>0</v>
      </c>
      <c r="AJ57" s="55">
        <f t="shared" si="7"/>
        <v>0</v>
      </c>
      <c r="AK57" s="55">
        <f t="shared" si="8"/>
        <v>0</v>
      </c>
      <c r="AL57" s="55">
        <f t="shared" si="9"/>
        <v>0</v>
      </c>
      <c r="AM57" s="59" t="s">
        <v>356</v>
      </c>
      <c r="AN57" s="46"/>
      <c r="AO57" s="43"/>
      <c r="AP57" s="43"/>
      <c r="AQ57" s="59" t="str">
        <f>IFERROR(_xlfn.XLOOKUP(Tabla1[[#This Row],[Cedula agente]],Lista!$B$2:$B$97,Lista!$G$2:$G$97)," ")</f>
        <v>Luisa Fernanda Benavides Castrillon</v>
      </c>
      <c r="AR57" s="59" t="s">
        <v>162</v>
      </c>
      <c r="AS57" s="55" t="str">
        <f>IFERROR(_xlfn.XLOOKUP(Tabla1[[#This Row],[Cedula agente]],Lista!$B$2:$B$97,Lista!$F$2:$F$97)," ")</f>
        <v>John Sebastian Roncancio Avendaño</v>
      </c>
      <c r="AT57" s="99">
        <v>0.95</v>
      </c>
      <c r="AU57" s="200">
        <f>+WEEKNUM('Score BD'!$H57)-WEEKNUM(DATE(YEAR('Score BD'!$H57),MONTH('Score BD'!$H57),1))+1</f>
        <v>2</v>
      </c>
    </row>
    <row r="58" spans="1:47" ht="17.45" customHeight="1" x14ac:dyDescent="0.3">
      <c r="A58" s="49" t="str">
        <f t="shared" si="10"/>
        <v>Ministerio de Educación Nacional</v>
      </c>
      <c r="B58" s="50">
        <f>+IFERROR(COUNTIF($J$3:J58,J58)," ")</f>
        <v>2</v>
      </c>
      <c r="C58" s="54" t="str">
        <f>+'Score BD'!$J58&amp;'Score BD'!$B58</f>
        <v>Andrés Felipe Silva Martínez2</v>
      </c>
      <c r="D58" s="91" t="s">
        <v>148</v>
      </c>
      <c r="E58" s="92" t="s">
        <v>208</v>
      </c>
      <c r="F58" s="92" t="s">
        <v>212</v>
      </c>
      <c r="G58" s="60" t="str">
        <f t="shared" si="0"/>
        <v>Noviembre</v>
      </c>
      <c r="H58" s="65">
        <v>45968</v>
      </c>
      <c r="I58" s="155">
        <v>45967</v>
      </c>
      <c r="J58" s="57" t="s">
        <v>228</v>
      </c>
      <c r="K58" s="54">
        <f>IFERROR(VLOOKUP('Score BD'!$J58,Lista!A:B,2,0)," ")</f>
        <v>1120362660</v>
      </c>
      <c r="L58" s="61" t="s">
        <v>301</v>
      </c>
      <c r="M58" s="59" t="s">
        <v>4</v>
      </c>
      <c r="N58" s="59" t="s">
        <v>4</v>
      </c>
      <c r="O58" s="59" t="s">
        <v>4</v>
      </c>
      <c r="P58" s="59" t="s">
        <v>4</v>
      </c>
      <c r="Q58" s="96">
        <f t="shared" si="1"/>
        <v>1</v>
      </c>
      <c r="R58" s="59" t="s">
        <v>4</v>
      </c>
      <c r="S58" s="59" t="s">
        <v>4</v>
      </c>
      <c r="T58" s="59" t="s">
        <v>4</v>
      </c>
      <c r="U58" s="59" t="s">
        <v>4</v>
      </c>
      <c r="V58" s="45">
        <f t="shared" si="2"/>
        <v>1</v>
      </c>
      <c r="W58" s="59" t="s">
        <v>4</v>
      </c>
      <c r="X58" s="59" t="s">
        <v>4</v>
      </c>
      <c r="Y58" s="59" t="s">
        <v>4</v>
      </c>
      <c r="Z58" s="59" t="s">
        <v>4</v>
      </c>
      <c r="AA58" s="59" t="s">
        <v>4</v>
      </c>
      <c r="AB58" s="59" t="s">
        <v>4</v>
      </c>
      <c r="AC58" s="45">
        <f t="shared" si="3"/>
        <v>1.000000000000002</v>
      </c>
      <c r="AD58" s="59" t="s">
        <v>4</v>
      </c>
      <c r="AE58" s="59" t="s">
        <v>4</v>
      </c>
      <c r="AF58" s="97">
        <f t="shared" si="4"/>
        <v>1</v>
      </c>
      <c r="AG58" s="44">
        <f t="shared" si="5"/>
        <v>1.0000000000000004</v>
      </c>
      <c r="AH58" s="55">
        <f t="shared" si="6"/>
        <v>0</v>
      </c>
      <c r="AI58" s="55">
        <f>COUNTIF('Score BD'!$M58:$P58,"no")</f>
        <v>0</v>
      </c>
      <c r="AJ58" s="55">
        <f t="shared" si="7"/>
        <v>0</v>
      </c>
      <c r="AK58" s="55">
        <f t="shared" si="8"/>
        <v>0</v>
      </c>
      <c r="AL58" s="55">
        <f t="shared" si="9"/>
        <v>0</v>
      </c>
      <c r="AM58" s="59" t="s">
        <v>356</v>
      </c>
      <c r="AN58" s="46"/>
      <c r="AO58" s="43"/>
      <c r="AP58" s="43"/>
      <c r="AQ58" s="59" t="str">
        <f>IFERROR(_xlfn.XLOOKUP(Tabla1[[#This Row],[Cedula agente]],Lista!$B$2:$B$97,Lista!$G$2:$G$97)," ")</f>
        <v>Luisa Fernanda Benavides Castrillon</v>
      </c>
      <c r="AR58" s="59" t="s">
        <v>162</v>
      </c>
      <c r="AS58" s="55" t="str">
        <f>IFERROR(_xlfn.XLOOKUP(Tabla1[[#This Row],[Cedula agente]],Lista!$B$2:$B$97,Lista!$F$2:$F$97)," ")</f>
        <v>John Sebastian Roncancio Avendaño</v>
      </c>
      <c r="AT58" s="99">
        <v>0.95</v>
      </c>
      <c r="AU58" s="200">
        <f>+WEEKNUM('Score BD'!$H58)-WEEKNUM(DATE(YEAR('Score BD'!$H58),MONTH('Score BD'!$H58),1))+1</f>
        <v>2</v>
      </c>
    </row>
    <row r="59" spans="1:47" ht="17.45" customHeight="1" x14ac:dyDescent="0.3">
      <c r="A59" s="49" t="str">
        <f t="shared" si="10"/>
        <v>Ministerio de Educación Nacional</v>
      </c>
      <c r="B59" s="50">
        <f>+IFERROR(COUNTIF($J$3:J59,J59)," ")</f>
        <v>3</v>
      </c>
      <c r="C59" s="54" t="str">
        <f>+'Score BD'!$J59&amp;'Score BD'!$B59</f>
        <v>Cesar Rodrigo García3</v>
      </c>
      <c r="D59" s="91" t="s">
        <v>148</v>
      </c>
      <c r="E59" s="92" t="s">
        <v>165</v>
      </c>
      <c r="F59" s="92" t="s">
        <v>212</v>
      </c>
      <c r="G59" s="60" t="str">
        <f t="shared" si="0"/>
        <v>Noviembre</v>
      </c>
      <c r="H59" s="65">
        <v>45968</v>
      </c>
      <c r="I59" s="155">
        <v>45967</v>
      </c>
      <c r="J59" s="57" t="s">
        <v>172</v>
      </c>
      <c r="K59" s="54">
        <f>IFERROR(VLOOKUP('Score BD'!$J59,Lista!A:B,2,0)," ")</f>
        <v>1069257937</v>
      </c>
      <c r="L59" s="61" t="s">
        <v>302</v>
      </c>
      <c r="M59" s="59" t="s">
        <v>4</v>
      </c>
      <c r="N59" s="59" t="s">
        <v>4</v>
      </c>
      <c r="O59" s="59" t="s">
        <v>4</v>
      </c>
      <c r="P59" s="59" t="s">
        <v>4</v>
      </c>
      <c r="Q59" s="96">
        <f t="shared" si="1"/>
        <v>1</v>
      </c>
      <c r="R59" s="59" t="s">
        <v>4</v>
      </c>
      <c r="S59" s="59" t="s">
        <v>4</v>
      </c>
      <c r="T59" s="59" t="s">
        <v>4</v>
      </c>
      <c r="U59" s="59" t="s">
        <v>4</v>
      </c>
      <c r="V59" s="45">
        <f t="shared" si="2"/>
        <v>1</v>
      </c>
      <c r="W59" s="59" t="s">
        <v>4</v>
      </c>
      <c r="X59" s="59" t="s">
        <v>4</v>
      </c>
      <c r="Y59" s="59" t="s">
        <v>4</v>
      </c>
      <c r="Z59" s="59" t="s">
        <v>4</v>
      </c>
      <c r="AA59" s="59" t="s">
        <v>4</v>
      </c>
      <c r="AB59" s="59" t="s">
        <v>4</v>
      </c>
      <c r="AC59" s="45">
        <f t="shared" si="3"/>
        <v>1.000000000000002</v>
      </c>
      <c r="AD59" s="59" t="s">
        <v>4</v>
      </c>
      <c r="AE59" s="59" t="s">
        <v>4</v>
      </c>
      <c r="AF59" s="97">
        <f t="shared" si="4"/>
        <v>1</v>
      </c>
      <c r="AG59" s="44">
        <f t="shared" si="5"/>
        <v>1.0000000000000004</v>
      </c>
      <c r="AH59" s="55">
        <f t="shared" si="6"/>
        <v>0</v>
      </c>
      <c r="AI59" s="55">
        <f>COUNTIF('Score BD'!$M59:$P59,"no")</f>
        <v>0</v>
      </c>
      <c r="AJ59" s="55">
        <f t="shared" si="7"/>
        <v>0</v>
      </c>
      <c r="AK59" s="55">
        <f t="shared" si="8"/>
        <v>0</v>
      </c>
      <c r="AL59" s="55">
        <f t="shared" si="9"/>
        <v>0</v>
      </c>
      <c r="AM59" s="59" t="s">
        <v>356</v>
      </c>
      <c r="AN59" s="46"/>
      <c r="AO59" s="43"/>
      <c r="AP59" s="43"/>
      <c r="AQ59" s="59" t="str">
        <f>IFERROR(_xlfn.XLOOKUP(Tabla1[[#This Row],[Cedula agente]],Lista!$B$2:$B$97,Lista!$G$2:$G$97)," ")</f>
        <v>Luisa Fernanda Benavides Castrillon</v>
      </c>
      <c r="AR59" s="59" t="s">
        <v>162</v>
      </c>
      <c r="AS59" s="55" t="str">
        <f>IFERROR(_xlfn.XLOOKUP(Tabla1[[#This Row],[Cedula agente]],Lista!$B$2:$B$97,Lista!$F$2:$F$97)," ")</f>
        <v>John Sebastian Roncancio Avendaño</v>
      </c>
      <c r="AT59" s="99">
        <v>0.95</v>
      </c>
      <c r="AU59" s="200">
        <f>+WEEKNUM('Score BD'!$H59)-WEEKNUM(DATE(YEAR('Score BD'!$H59),MONTH('Score BD'!$H59),1))+1</f>
        <v>2</v>
      </c>
    </row>
    <row r="60" spans="1:47" ht="17.45" customHeight="1" x14ac:dyDescent="0.3">
      <c r="A60" s="49" t="str">
        <f t="shared" si="10"/>
        <v>Ministerio de Educación Nacional</v>
      </c>
      <c r="B60" s="50">
        <f>+IFERROR(COUNTIF($J$3:J60,J60)," ")</f>
        <v>3</v>
      </c>
      <c r="C60" s="54" t="str">
        <f>+'Score BD'!$J60&amp;'Score BD'!$B60</f>
        <v>Cristian Enrique Benitez Rodriguez3</v>
      </c>
      <c r="D60" s="91" t="s">
        <v>148</v>
      </c>
      <c r="E60" s="92" t="s">
        <v>165</v>
      </c>
      <c r="F60" s="92" t="s">
        <v>212</v>
      </c>
      <c r="G60" s="60" t="str">
        <f t="shared" si="0"/>
        <v>Noviembre</v>
      </c>
      <c r="H60" s="65">
        <v>45968</v>
      </c>
      <c r="I60" s="155">
        <v>45967</v>
      </c>
      <c r="J60" s="57" t="s">
        <v>173</v>
      </c>
      <c r="K60" s="54">
        <f>IFERROR(VLOOKUP('Score BD'!$J60,Lista!A:B,2,0)," ")</f>
        <v>1026574814</v>
      </c>
      <c r="L60" s="61" t="s">
        <v>303</v>
      </c>
      <c r="M60" s="59" t="s">
        <v>4</v>
      </c>
      <c r="N60" s="59" t="s">
        <v>4</v>
      </c>
      <c r="O60" s="59" t="s">
        <v>4</v>
      </c>
      <c r="P60" s="59" t="s">
        <v>4</v>
      </c>
      <c r="Q60" s="96">
        <f t="shared" si="1"/>
        <v>1</v>
      </c>
      <c r="R60" s="59" t="s">
        <v>4</v>
      </c>
      <c r="S60" s="59" t="s">
        <v>4</v>
      </c>
      <c r="T60" s="59" t="s">
        <v>4</v>
      </c>
      <c r="U60" s="59" t="s">
        <v>4</v>
      </c>
      <c r="V60" s="45">
        <f t="shared" si="2"/>
        <v>1</v>
      </c>
      <c r="W60" s="59" t="s">
        <v>4</v>
      </c>
      <c r="X60" s="59" t="s">
        <v>4</v>
      </c>
      <c r="Y60" s="59" t="s">
        <v>4</v>
      </c>
      <c r="Z60" s="59" t="s">
        <v>4</v>
      </c>
      <c r="AA60" s="59" t="s">
        <v>4</v>
      </c>
      <c r="AB60" s="59" t="s">
        <v>4</v>
      </c>
      <c r="AC60" s="45">
        <f t="shared" si="3"/>
        <v>1.000000000000002</v>
      </c>
      <c r="AD60" s="59" t="s">
        <v>4</v>
      </c>
      <c r="AE60" s="59" t="s">
        <v>4</v>
      </c>
      <c r="AF60" s="97">
        <f t="shared" si="4"/>
        <v>1</v>
      </c>
      <c r="AG60" s="44">
        <f t="shared" si="5"/>
        <v>1.0000000000000004</v>
      </c>
      <c r="AH60" s="55">
        <f t="shared" si="6"/>
        <v>0</v>
      </c>
      <c r="AI60" s="55">
        <f>COUNTIF('Score BD'!$M60:$P60,"no")</f>
        <v>0</v>
      </c>
      <c r="AJ60" s="55">
        <f t="shared" si="7"/>
        <v>0</v>
      </c>
      <c r="AK60" s="55">
        <f t="shared" si="8"/>
        <v>0</v>
      </c>
      <c r="AL60" s="55">
        <f t="shared" si="9"/>
        <v>0</v>
      </c>
      <c r="AM60" s="59" t="s">
        <v>356</v>
      </c>
      <c r="AN60" s="46"/>
      <c r="AO60" s="43"/>
      <c r="AP60" s="43"/>
      <c r="AQ60" s="59" t="str">
        <f>IFERROR(_xlfn.XLOOKUP(Tabla1[[#This Row],[Cedula agente]],Lista!$B$2:$B$97,Lista!$G$2:$G$97)," ")</f>
        <v>Luisa Fernanda Benavides Castrillon</v>
      </c>
      <c r="AR60" s="59" t="s">
        <v>162</v>
      </c>
      <c r="AS60" s="55" t="str">
        <f>IFERROR(_xlfn.XLOOKUP(Tabla1[[#This Row],[Cedula agente]],Lista!$B$2:$B$97,Lista!$F$2:$F$97)," ")</f>
        <v>John Sebastian Roncancio Avendaño</v>
      </c>
      <c r="AT60" s="99">
        <v>0.95</v>
      </c>
      <c r="AU60" s="200">
        <f>+WEEKNUM('Score BD'!$H60)-WEEKNUM(DATE(YEAR('Score BD'!$H60),MONTH('Score BD'!$H60),1))+1</f>
        <v>2</v>
      </c>
    </row>
    <row r="61" spans="1:47" ht="17.45" customHeight="1" x14ac:dyDescent="0.3">
      <c r="A61" s="49" t="str">
        <f t="shared" si="10"/>
        <v>Ministerio de Educación Nacional</v>
      </c>
      <c r="B61" s="50">
        <f>+IFERROR(COUNTIF($J$3:J61,J61)," ")</f>
        <v>5</v>
      </c>
      <c r="C61" s="54" t="str">
        <f>+'Score BD'!$J61&amp;'Score BD'!$B61</f>
        <v>Erika Natalia Ramírez Herrera5</v>
      </c>
      <c r="D61" s="91" t="s">
        <v>148</v>
      </c>
      <c r="E61" s="92" t="s">
        <v>164</v>
      </c>
      <c r="F61" s="92" t="s">
        <v>212</v>
      </c>
      <c r="G61" s="60" t="str">
        <f t="shared" si="0"/>
        <v>Noviembre</v>
      </c>
      <c r="H61" s="65">
        <v>45968</v>
      </c>
      <c r="I61" s="155">
        <v>45967</v>
      </c>
      <c r="J61" s="57" t="s">
        <v>174</v>
      </c>
      <c r="K61" s="54">
        <f>IFERROR(VLOOKUP('Score BD'!$J61,Lista!A:B,2,0)," ")</f>
        <v>1032367072</v>
      </c>
      <c r="L61" s="61" t="s">
        <v>304</v>
      </c>
      <c r="M61" s="59" t="s">
        <v>4</v>
      </c>
      <c r="N61" s="59" t="s">
        <v>4</v>
      </c>
      <c r="O61" s="59" t="s">
        <v>4</v>
      </c>
      <c r="P61" s="59" t="s">
        <v>4</v>
      </c>
      <c r="Q61" s="96">
        <f t="shared" si="1"/>
        <v>1</v>
      </c>
      <c r="R61" s="59" t="s">
        <v>4</v>
      </c>
      <c r="S61" s="59" t="s">
        <v>4</v>
      </c>
      <c r="T61" s="59" t="s">
        <v>4</v>
      </c>
      <c r="U61" s="59" t="s">
        <v>4</v>
      </c>
      <c r="V61" s="45">
        <f t="shared" si="2"/>
        <v>1</v>
      </c>
      <c r="W61" s="59" t="s">
        <v>4</v>
      </c>
      <c r="X61" s="59" t="s">
        <v>4</v>
      </c>
      <c r="Y61" s="59" t="s">
        <v>4</v>
      </c>
      <c r="Z61" s="59" t="s">
        <v>4</v>
      </c>
      <c r="AA61" s="59" t="s">
        <v>4</v>
      </c>
      <c r="AB61" s="59" t="s">
        <v>4</v>
      </c>
      <c r="AC61" s="45">
        <f t="shared" si="3"/>
        <v>1.000000000000002</v>
      </c>
      <c r="AD61" s="59" t="s">
        <v>4</v>
      </c>
      <c r="AE61" s="59" t="s">
        <v>4</v>
      </c>
      <c r="AF61" s="97">
        <f t="shared" si="4"/>
        <v>1</v>
      </c>
      <c r="AG61" s="44">
        <f t="shared" si="5"/>
        <v>1.0000000000000004</v>
      </c>
      <c r="AH61" s="55">
        <f t="shared" si="6"/>
        <v>0</v>
      </c>
      <c r="AI61" s="55">
        <f>COUNTIF('Score BD'!$M61:$P61,"no")</f>
        <v>0</v>
      </c>
      <c r="AJ61" s="55">
        <f t="shared" si="7"/>
        <v>0</v>
      </c>
      <c r="AK61" s="55">
        <f t="shared" si="8"/>
        <v>0</v>
      </c>
      <c r="AL61" s="55">
        <f t="shared" si="9"/>
        <v>0</v>
      </c>
      <c r="AM61" s="59" t="s">
        <v>356</v>
      </c>
      <c r="AN61" s="46"/>
      <c r="AO61" s="43"/>
      <c r="AP61" s="43"/>
      <c r="AQ61" s="59" t="str">
        <f>IFERROR(_xlfn.XLOOKUP(Tabla1[[#This Row],[Cedula agente]],Lista!$B$2:$B$97,Lista!$G$2:$G$97)," ")</f>
        <v>Luisa Fernanda Benavides Castrillon</v>
      </c>
      <c r="AR61" s="59" t="s">
        <v>162</v>
      </c>
      <c r="AS61" s="55" t="str">
        <f>IFERROR(_xlfn.XLOOKUP(Tabla1[[#This Row],[Cedula agente]],Lista!$B$2:$B$97,Lista!$F$2:$F$97)," ")</f>
        <v>John Sebastian Roncancio Avendaño</v>
      </c>
      <c r="AT61" s="99">
        <v>0.95</v>
      </c>
      <c r="AU61" s="200">
        <f>+WEEKNUM('Score BD'!$H61)-WEEKNUM(DATE(YEAR('Score BD'!$H61),MONTH('Score BD'!$H61),1))+1</f>
        <v>2</v>
      </c>
    </row>
    <row r="62" spans="1:47" ht="17.45" customHeight="1" x14ac:dyDescent="0.3">
      <c r="A62" s="49" t="str">
        <f t="shared" si="10"/>
        <v>Ministerio de Educación Nacional</v>
      </c>
      <c r="B62" s="50">
        <f>+IFERROR(COUNTIF($J$3:J62,J62)," ")</f>
        <v>6</v>
      </c>
      <c r="C62" s="54" t="str">
        <f>+'Score BD'!$J62&amp;'Score BD'!$B62</f>
        <v>Erika Natalia Ramírez Herrera6</v>
      </c>
      <c r="D62" s="91" t="s">
        <v>148</v>
      </c>
      <c r="E62" s="92" t="s">
        <v>164</v>
      </c>
      <c r="F62" s="92" t="s">
        <v>212</v>
      </c>
      <c r="G62" s="60" t="str">
        <f t="shared" si="0"/>
        <v>Noviembre</v>
      </c>
      <c r="H62" s="65">
        <v>45968</v>
      </c>
      <c r="I62" s="155">
        <v>45967</v>
      </c>
      <c r="J62" s="57" t="s">
        <v>174</v>
      </c>
      <c r="K62" s="54">
        <f>IFERROR(VLOOKUP('Score BD'!$J62,Lista!A:B,2,0)," ")</f>
        <v>1032367072</v>
      </c>
      <c r="L62" s="61" t="s">
        <v>305</v>
      </c>
      <c r="M62" s="59" t="s">
        <v>4</v>
      </c>
      <c r="N62" s="59" t="s">
        <v>4</v>
      </c>
      <c r="O62" s="59" t="s">
        <v>4</v>
      </c>
      <c r="P62" s="59" t="s">
        <v>4</v>
      </c>
      <c r="Q62" s="96">
        <f t="shared" si="1"/>
        <v>1</v>
      </c>
      <c r="R62" s="59" t="s">
        <v>4</v>
      </c>
      <c r="S62" s="59" t="s">
        <v>4</v>
      </c>
      <c r="T62" s="59" t="s">
        <v>4</v>
      </c>
      <c r="U62" s="59" t="s">
        <v>4</v>
      </c>
      <c r="V62" s="45">
        <f t="shared" si="2"/>
        <v>1</v>
      </c>
      <c r="W62" s="59" t="s">
        <v>4</v>
      </c>
      <c r="X62" s="59" t="s">
        <v>4</v>
      </c>
      <c r="Y62" s="59" t="s">
        <v>4</v>
      </c>
      <c r="Z62" s="59" t="s">
        <v>4</v>
      </c>
      <c r="AA62" s="59" t="s">
        <v>4</v>
      </c>
      <c r="AB62" s="59" t="s">
        <v>4</v>
      </c>
      <c r="AC62" s="45">
        <f t="shared" si="3"/>
        <v>1.000000000000002</v>
      </c>
      <c r="AD62" s="59" t="s">
        <v>4</v>
      </c>
      <c r="AE62" s="59" t="s">
        <v>4</v>
      </c>
      <c r="AF62" s="97">
        <f t="shared" si="4"/>
        <v>1</v>
      </c>
      <c r="AG62" s="44">
        <f t="shared" si="5"/>
        <v>1.0000000000000004</v>
      </c>
      <c r="AH62" s="55">
        <f t="shared" si="6"/>
        <v>0</v>
      </c>
      <c r="AI62" s="55">
        <f>COUNTIF('Score BD'!$M62:$P62,"no")</f>
        <v>0</v>
      </c>
      <c r="AJ62" s="55">
        <f t="shared" si="7"/>
        <v>0</v>
      </c>
      <c r="AK62" s="55">
        <f t="shared" si="8"/>
        <v>0</v>
      </c>
      <c r="AL62" s="55">
        <f t="shared" si="9"/>
        <v>0</v>
      </c>
      <c r="AM62" s="59" t="s">
        <v>356</v>
      </c>
      <c r="AN62" s="46"/>
      <c r="AO62" s="43"/>
      <c r="AP62" s="43"/>
      <c r="AQ62" s="59" t="str">
        <f>IFERROR(_xlfn.XLOOKUP(Tabla1[[#This Row],[Cedula agente]],Lista!$B$2:$B$97,Lista!$G$2:$G$97)," ")</f>
        <v>Luisa Fernanda Benavides Castrillon</v>
      </c>
      <c r="AR62" s="59" t="s">
        <v>162</v>
      </c>
      <c r="AS62" s="55" t="str">
        <f>IFERROR(_xlfn.XLOOKUP(Tabla1[[#This Row],[Cedula agente]],Lista!$B$2:$B$97,Lista!$F$2:$F$97)," ")</f>
        <v>John Sebastian Roncancio Avendaño</v>
      </c>
      <c r="AT62" s="99">
        <v>0.95</v>
      </c>
      <c r="AU62" s="200">
        <f>+WEEKNUM('Score BD'!$H62)-WEEKNUM(DATE(YEAR('Score BD'!$H62),MONTH('Score BD'!$H62),1))+1</f>
        <v>2</v>
      </c>
    </row>
    <row r="63" spans="1:47" ht="17.45" customHeight="1" x14ac:dyDescent="0.3">
      <c r="A63" s="49" t="str">
        <f t="shared" si="10"/>
        <v>Ministerio de Educación Nacional</v>
      </c>
      <c r="B63" s="50">
        <f>+IFERROR(COUNTIF($J$3:J63,J63)," ")</f>
        <v>7</v>
      </c>
      <c r="C63" s="54" t="str">
        <f>+'Score BD'!$J63&amp;'Score BD'!$B63</f>
        <v>Erika Natalia Ramírez Herrera7</v>
      </c>
      <c r="D63" s="91" t="s">
        <v>148</v>
      </c>
      <c r="E63" s="92" t="s">
        <v>164</v>
      </c>
      <c r="F63" s="92" t="s">
        <v>212</v>
      </c>
      <c r="G63" s="60" t="str">
        <f t="shared" si="0"/>
        <v>Noviembre</v>
      </c>
      <c r="H63" s="65">
        <v>45968</v>
      </c>
      <c r="I63" s="155">
        <v>45967</v>
      </c>
      <c r="J63" s="57" t="s">
        <v>174</v>
      </c>
      <c r="K63" s="54">
        <f>IFERROR(VLOOKUP('Score BD'!$J63,Lista!A:B,2,0)," ")</f>
        <v>1032367072</v>
      </c>
      <c r="L63" s="61" t="s">
        <v>306</v>
      </c>
      <c r="M63" s="59" t="s">
        <v>4</v>
      </c>
      <c r="N63" s="59" t="s">
        <v>4</v>
      </c>
      <c r="O63" s="59" t="s">
        <v>4</v>
      </c>
      <c r="P63" s="59" t="s">
        <v>4</v>
      </c>
      <c r="Q63" s="96">
        <f t="shared" si="1"/>
        <v>1</v>
      </c>
      <c r="R63" s="59" t="s">
        <v>4</v>
      </c>
      <c r="S63" s="59" t="s">
        <v>4</v>
      </c>
      <c r="T63" s="59" t="s">
        <v>4</v>
      </c>
      <c r="U63" s="59" t="s">
        <v>4</v>
      </c>
      <c r="V63" s="45">
        <f t="shared" si="2"/>
        <v>1</v>
      </c>
      <c r="W63" s="59" t="s">
        <v>4</v>
      </c>
      <c r="X63" s="59" t="s">
        <v>4</v>
      </c>
      <c r="Y63" s="59" t="s">
        <v>4</v>
      </c>
      <c r="Z63" s="59" t="s">
        <v>4</v>
      </c>
      <c r="AA63" s="59" t="s">
        <v>4</v>
      </c>
      <c r="AB63" s="59" t="s">
        <v>4</v>
      </c>
      <c r="AC63" s="45">
        <f t="shared" si="3"/>
        <v>1.000000000000002</v>
      </c>
      <c r="AD63" s="59" t="s">
        <v>4</v>
      </c>
      <c r="AE63" s="59" t="s">
        <v>4</v>
      </c>
      <c r="AF63" s="97">
        <f t="shared" si="4"/>
        <v>1</v>
      </c>
      <c r="AG63" s="44">
        <f t="shared" si="5"/>
        <v>1.0000000000000004</v>
      </c>
      <c r="AH63" s="55">
        <f t="shared" si="6"/>
        <v>0</v>
      </c>
      <c r="AI63" s="55">
        <f>COUNTIF('Score BD'!$M63:$P63,"no")</f>
        <v>0</v>
      </c>
      <c r="AJ63" s="55">
        <f t="shared" si="7"/>
        <v>0</v>
      </c>
      <c r="AK63" s="55">
        <f t="shared" si="8"/>
        <v>0</v>
      </c>
      <c r="AL63" s="64">
        <f t="shared" si="9"/>
        <v>0</v>
      </c>
      <c r="AM63" s="59" t="s">
        <v>356</v>
      </c>
      <c r="AN63" s="46"/>
      <c r="AO63" s="43"/>
      <c r="AP63" s="43"/>
      <c r="AQ63" s="59" t="str">
        <f>IFERROR(_xlfn.XLOOKUP(Tabla1[[#This Row],[Cedula agente]],Lista!$B$2:$B$97,Lista!$G$2:$G$97)," ")</f>
        <v>Luisa Fernanda Benavides Castrillon</v>
      </c>
      <c r="AR63" s="59" t="s">
        <v>162</v>
      </c>
      <c r="AS63" s="55" t="str">
        <f>IFERROR(_xlfn.XLOOKUP(Tabla1[[#This Row],[Cedula agente]],Lista!$B$2:$B$97,Lista!$F$2:$F$97)," ")</f>
        <v>John Sebastian Roncancio Avendaño</v>
      </c>
      <c r="AT63" s="99">
        <v>0.95</v>
      </c>
      <c r="AU63" s="200">
        <f>+WEEKNUM('Score BD'!$H63)-WEEKNUM(DATE(YEAR('Score BD'!$H63),MONTH('Score BD'!$H63),1))+1</f>
        <v>2</v>
      </c>
    </row>
    <row r="64" spans="1:47" ht="17.45" customHeight="1" x14ac:dyDescent="0.3">
      <c r="A64" s="49" t="str">
        <f t="shared" si="10"/>
        <v>Ministerio de Educación Nacional</v>
      </c>
      <c r="B64" s="50">
        <f>+IFERROR(COUNTIF($J$3:J64,J64)," ")</f>
        <v>4</v>
      </c>
      <c r="C64" s="54" t="str">
        <f>+'Score BD'!$J64&amp;'Score BD'!$B64</f>
        <v>Henry Eduardo Padilla Castilla4</v>
      </c>
      <c r="D64" s="91" t="s">
        <v>148</v>
      </c>
      <c r="E64" s="92" t="s">
        <v>165</v>
      </c>
      <c r="F64" s="92" t="s">
        <v>212</v>
      </c>
      <c r="G64" s="60" t="str">
        <f t="shared" si="0"/>
        <v>Noviembre</v>
      </c>
      <c r="H64" s="65">
        <v>45968</v>
      </c>
      <c r="I64" s="155">
        <v>45967</v>
      </c>
      <c r="J64" s="57" t="s">
        <v>175</v>
      </c>
      <c r="K64" s="54">
        <f>IFERROR(VLOOKUP('Score BD'!$J64,Lista!A:B,2,0)," ")</f>
        <v>1063968280</v>
      </c>
      <c r="L64" s="61" t="s">
        <v>307</v>
      </c>
      <c r="M64" s="59" t="s">
        <v>4</v>
      </c>
      <c r="N64" s="59" t="s">
        <v>4</v>
      </c>
      <c r="O64" s="59" t="s">
        <v>4</v>
      </c>
      <c r="P64" s="59" t="s">
        <v>4</v>
      </c>
      <c r="Q64" s="96">
        <f t="shared" si="1"/>
        <v>1</v>
      </c>
      <c r="R64" s="59" t="s">
        <v>4</v>
      </c>
      <c r="S64" s="59" t="s">
        <v>4</v>
      </c>
      <c r="T64" s="59" t="s">
        <v>4</v>
      </c>
      <c r="U64" s="59" t="s">
        <v>4</v>
      </c>
      <c r="V64" s="45">
        <f t="shared" si="2"/>
        <v>1</v>
      </c>
      <c r="W64" s="59" t="s">
        <v>4</v>
      </c>
      <c r="X64" s="59" t="s">
        <v>4</v>
      </c>
      <c r="Y64" s="59" t="s">
        <v>4</v>
      </c>
      <c r="Z64" s="59" t="s">
        <v>4</v>
      </c>
      <c r="AA64" s="59" t="s">
        <v>4</v>
      </c>
      <c r="AB64" s="59" t="s">
        <v>4</v>
      </c>
      <c r="AC64" s="45">
        <f t="shared" si="3"/>
        <v>1.000000000000002</v>
      </c>
      <c r="AD64" s="59" t="s">
        <v>4</v>
      </c>
      <c r="AE64" s="59" t="s">
        <v>4</v>
      </c>
      <c r="AF64" s="97">
        <f t="shared" si="4"/>
        <v>1</v>
      </c>
      <c r="AG64" s="44">
        <f t="shared" si="5"/>
        <v>1.0000000000000004</v>
      </c>
      <c r="AH64" s="55">
        <f t="shared" si="6"/>
        <v>0</v>
      </c>
      <c r="AI64" s="55">
        <f>COUNTIF('Score BD'!$M64:$P64,"no")</f>
        <v>0</v>
      </c>
      <c r="AJ64" s="55">
        <f t="shared" si="7"/>
        <v>0</v>
      </c>
      <c r="AK64" s="55">
        <f t="shared" si="8"/>
        <v>0</v>
      </c>
      <c r="AL64" s="64">
        <f t="shared" si="9"/>
        <v>0</v>
      </c>
      <c r="AM64" s="59" t="s">
        <v>356</v>
      </c>
      <c r="AN64" s="46"/>
      <c r="AO64" s="43"/>
      <c r="AP64" s="43"/>
      <c r="AQ64" s="59" t="str">
        <f>IFERROR(_xlfn.XLOOKUP(Tabla1[[#This Row],[Cedula agente]],Lista!$B$2:$B$97,Lista!$G$2:$G$97)," ")</f>
        <v>Luisa Fernanda Benavides Castrillon</v>
      </c>
      <c r="AR64" s="59" t="s">
        <v>162</v>
      </c>
      <c r="AS64" s="55" t="str">
        <f>IFERROR(_xlfn.XLOOKUP(Tabla1[[#This Row],[Cedula agente]],Lista!$B$2:$B$97,Lista!$F$2:$F$97)," ")</f>
        <v>John Sebastian Roncancio Avendaño</v>
      </c>
      <c r="AT64" s="99">
        <v>0.95</v>
      </c>
      <c r="AU64" s="200">
        <f>+WEEKNUM('Score BD'!$H64)-WEEKNUM(DATE(YEAR('Score BD'!$H64),MONTH('Score BD'!$H64),1))+1</f>
        <v>2</v>
      </c>
    </row>
    <row r="65" spans="1:47" ht="17.45" customHeight="1" x14ac:dyDescent="0.3">
      <c r="A65" s="49" t="str">
        <f t="shared" si="10"/>
        <v>Ministerio de Educación Nacional</v>
      </c>
      <c r="B65" s="50">
        <f>+IFERROR(COUNTIF($J$3:J65,J65)," ")</f>
        <v>5</v>
      </c>
      <c r="C65" s="54" t="str">
        <f>+'Score BD'!$J65&amp;'Score BD'!$B65</f>
        <v>Ingrid Carolina Monsalve Quintero5</v>
      </c>
      <c r="D65" s="91" t="s">
        <v>148</v>
      </c>
      <c r="E65" s="92" t="s">
        <v>164</v>
      </c>
      <c r="F65" s="92" t="s">
        <v>212</v>
      </c>
      <c r="G65" s="60" t="str">
        <f t="shared" si="0"/>
        <v>Noviembre</v>
      </c>
      <c r="H65" s="65">
        <v>45968</v>
      </c>
      <c r="I65" s="155">
        <v>45967</v>
      </c>
      <c r="J65" s="57" t="s">
        <v>176</v>
      </c>
      <c r="K65" s="54">
        <f>IFERROR(VLOOKUP('Score BD'!$J65,Lista!A:B,2,0)," ")</f>
        <v>52805909</v>
      </c>
      <c r="L65" s="61" t="s">
        <v>308</v>
      </c>
      <c r="M65" s="59" t="s">
        <v>4</v>
      </c>
      <c r="N65" s="59" t="s">
        <v>4</v>
      </c>
      <c r="O65" s="59" t="s">
        <v>4</v>
      </c>
      <c r="P65" s="59" t="s">
        <v>4</v>
      </c>
      <c r="Q65" s="96">
        <f t="shared" si="1"/>
        <v>1</v>
      </c>
      <c r="R65" s="59" t="s">
        <v>4</v>
      </c>
      <c r="S65" s="59" t="s">
        <v>4</v>
      </c>
      <c r="T65" s="59" t="s">
        <v>4</v>
      </c>
      <c r="U65" s="59" t="s">
        <v>4</v>
      </c>
      <c r="V65" s="45">
        <f t="shared" si="2"/>
        <v>1</v>
      </c>
      <c r="W65" s="59" t="s">
        <v>4</v>
      </c>
      <c r="X65" s="59" t="s">
        <v>4</v>
      </c>
      <c r="Y65" s="59" t="s">
        <v>4</v>
      </c>
      <c r="Z65" s="59" t="s">
        <v>4</v>
      </c>
      <c r="AA65" s="59" t="s">
        <v>4</v>
      </c>
      <c r="AB65" s="59" t="s">
        <v>4</v>
      </c>
      <c r="AC65" s="45">
        <f t="shared" si="3"/>
        <v>1.000000000000002</v>
      </c>
      <c r="AD65" s="59" t="s">
        <v>4</v>
      </c>
      <c r="AE65" s="59" t="s">
        <v>4</v>
      </c>
      <c r="AF65" s="97">
        <f t="shared" si="4"/>
        <v>1</v>
      </c>
      <c r="AG65" s="44">
        <f t="shared" si="5"/>
        <v>1.0000000000000004</v>
      </c>
      <c r="AH65" s="55">
        <f t="shared" si="6"/>
        <v>0</v>
      </c>
      <c r="AI65" s="55">
        <f>COUNTIF('Score BD'!$M65:$P65,"no")</f>
        <v>0</v>
      </c>
      <c r="AJ65" s="55">
        <f t="shared" si="7"/>
        <v>0</v>
      </c>
      <c r="AK65" s="55">
        <f t="shared" si="8"/>
        <v>0</v>
      </c>
      <c r="AL65" s="64">
        <f t="shared" si="9"/>
        <v>0</v>
      </c>
      <c r="AM65" s="59" t="s">
        <v>356</v>
      </c>
      <c r="AN65" s="46"/>
      <c r="AO65" s="43"/>
      <c r="AP65" s="43"/>
      <c r="AQ65" s="59" t="str">
        <f>IFERROR(_xlfn.XLOOKUP(Tabla1[[#This Row],[Cedula agente]],Lista!$B$2:$B$97,Lista!$G$2:$G$97)," ")</f>
        <v>Luisa Fernanda Benavides Castrillon</v>
      </c>
      <c r="AR65" s="59" t="s">
        <v>162</v>
      </c>
      <c r="AS65" s="55" t="str">
        <f>IFERROR(_xlfn.XLOOKUP(Tabla1[[#This Row],[Cedula agente]],Lista!$B$2:$B$97,Lista!$F$2:$F$97)," ")</f>
        <v>John Sebastian Roncancio Avendaño</v>
      </c>
      <c r="AT65" s="99">
        <v>0.95</v>
      </c>
      <c r="AU65" s="200">
        <f>+WEEKNUM('Score BD'!$H65)-WEEKNUM(DATE(YEAR('Score BD'!$H65),MONTH('Score BD'!$H65),1))+1</f>
        <v>2</v>
      </c>
    </row>
    <row r="66" spans="1:47" ht="17.45" customHeight="1" x14ac:dyDescent="0.3">
      <c r="A66" s="49" t="str">
        <f t="shared" si="10"/>
        <v>Ministerio de Educación Nacional</v>
      </c>
      <c r="B66" s="50">
        <f>+IFERROR(COUNTIF($J$3:J66,J66)," ")</f>
        <v>6</v>
      </c>
      <c r="C66" s="54" t="str">
        <f>+'Score BD'!$J66&amp;'Score BD'!$B66</f>
        <v>Ingrid Carolina Monsalve Quintero6</v>
      </c>
      <c r="D66" s="91" t="s">
        <v>148</v>
      </c>
      <c r="E66" s="92" t="s">
        <v>164</v>
      </c>
      <c r="F66" s="92" t="s">
        <v>212</v>
      </c>
      <c r="G66" s="60" t="str">
        <f t="shared" si="0"/>
        <v>Noviembre</v>
      </c>
      <c r="H66" s="65">
        <v>45968</v>
      </c>
      <c r="I66" s="155">
        <v>45967</v>
      </c>
      <c r="J66" s="57" t="s">
        <v>176</v>
      </c>
      <c r="K66" s="54">
        <f>IFERROR(VLOOKUP('Score BD'!$J66,Lista!A:B,2,0)," ")</f>
        <v>52805909</v>
      </c>
      <c r="L66" s="61" t="s">
        <v>309</v>
      </c>
      <c r="M66" s="59" t="s">
        <v>4</v>
      </c>
      <c r="N66" s="59" t="s">
        <v>4</v>
      </c>
      <c r="O66" s="59" t="s">
        <v>4</v>
      </c>
      <c r="P66" s="59" t="s">
        <v>4</v>
      </c>
      <c r="Q66" s="96">
        <f t="shared" si="1"/>
        <v>1</v>
      </c>
      <c r="R66" s="59" t="s">
        <v>4</v>
      </c>
      <c r="S66" s="59" t="s">
        <v>4</v>
      </c>
      <c r="T66" s="59" t="s">
        <v>4</v>
      </c>
      <c r="U66" s="59" t="s">
        <v>4</v>
      </c>
      <c r="V66" s="45">
        <f t="shared" si="2"/>
        <v>1</v>
      </c>
      <c r="W66" s="59" t="s">
        <v>4</v>
      </c>
      <c r="X66" s="59" t="s">
        <v>4</v>
      </c>
      <c r="Y66" s="59" t="s">
        <v>4</v>
      </c>
      <c r="Z66" s="59" t="s">
        <v>4</v>
      </c>
      <c r="AA66" s="59" t="s">
        <v>4</v>
      </c>
      <c r="AB66" s="59" t="s">
        <v>4</v>
      </c>
      <c r="AC66" s="45">
        <f t="shared" si="3"/>
        <v>1.000000000000002</v>
      </c>
      <c r="AD66" s="59" t="s">
        <v>4</v>
      </c>
      <c r="AE66" s="59" t="s">
        <v>4</v>
      </c>
      <c r="AF66" s="97">
        <f t="shared" si="4"/>
        <v>1</v>
      </c>
      <c r="AG66" s="44">
        <f t="shared" si="5"/>
        <v>1.0000000000000004</v>
      </c>
      <c r="AH66" s="55">
        <f t="shared" si="6"/>
        <v>0</v>
      </c>
      <c r="AI66" s="55">
        <f>COUNTIF('Score BD'!$M66:$P66,"no")</f>
        <v>0</v>
      </c>
      <c r="AJ66" s="55">
        <f t="shared" si="7"/>
        <v>0</v>
      </c>
      <c r="AK66" s="55">
        <f t="shared" si="8"/>
        <v>0</v>
      </c>
      <c r="AL66" s="55">
        <f t="shared" si="9"/>
        <v>0</v>
      </c>
      <c r="AM66" s="59" t="s">
        <v>356</v>
      </c>
      <c r="AN66" s="46"/>
      <c r="AO66" s="43"/>
      <c r="AP66" s="43"/>
      <c r="AQ66" s="59" t="str">
        <f>IFERROR(_xlfn.XLOOKUP(Tabla1[[#This Row],[Cedula agente]],Lista!$B$2:$B$97,Lista!$G$2:$G$97)," ")</f>
        <v>Luisa Fernanda Benavides Castrillon</v>
      </c>
      <c r="AR66" s="59" t="s">
        <v>162</v>
      </c>
      <c r="AS66" s="55" t="str">
        <f>IFERROR(_xlfn.XLOOKUP(Tabla1[[#This Row],[Cedula agente]],Lista!$B$2:$B$97,Lista!$F$2:$F$97)," ")</f>
        <v>John Sebastian Roncancio Avendaño</v>
      </c>
      <c r="AT66" s="99">
        <v>0.95</v>
      </c>
      <c r="AU66" s="200">
        <f>+WEEKNUM('Score BD'!$H66)-WEEKNUM(DATE(YEAR('Score BD'!$H66),MONTH('Score BD'!$H66),1))+1</f>
        <v>2</v>
      </c>
    </row>
    <row r="67" spans="1:47" ht="17.45" customHeight="1" x14ac:dyDescent="0.3">
      <c r="A67" s="49" t="str">
        <f t="shared" ref="A67:A131" si="11">+IF(B67&gt;0,"Ministerio de Educación Nacional"," ")</f>
        <v>Ministerio de Educación Nacional</v>
      </c>
      <c r="B67" s="50">
        <f>+IFERROR(COUNTIF($J$3:J67,J67)," ")</f>
        <v>3</v>
      </c>
      <c r="C67" s="54" t="str">
        <f>+'Score BD'!$J67&amp;'Score BD'!$B67</f>
        <v>Jesus David Hernandez Fernandez de Castro3</v>
      </c>
      <c r="D67" s="91" t="s">
        <v>148</v>
      </c>
      <c r="E67" s="92" t="s">
        <v>208</v>
      </c>
      <c r="F67" s="92" t="s">
        <v>212</v>
      </c>
      <c r="G67" s="60" t="str">
        <f t="shared" ref="G67:G131" si="12">+PROPER(TEXT(H67,"mmmm"))</f>
        <v>Noviembre</v>
      </c>
      <c r="H67" s="65">
        <v>45968</v>
      </c>
      <c r="I67" s="155">
        <v>45967</v>
      </c>
      <c r="J67" s="57" t="s">
        <v>177</v>
      </c>
      <c r="K67" s="54">
        <f>IFERROR(VLOOKUP('Score BD'!$J67,Lista!A:B,2,0)," ")</f>
        <v>1083038013</v>
      </c>
      <c r="L67" s="61" t="s">
        <v>310</v>
      </c>
      <c r="M67" s="59" t="s">
        <v>4</v>
      </c>
      <c r="N67" s="59" t="s">
        <v>4</v>
      </c>
      <c r="O67" s="59" t="s">
        <v>4</v>
      </c>
      <c r="P67" s="59" t="s">
        <v>4</v>
      </c>
      <c r="Q67" s="96">
        <f t="shared" ref="Q67:Q131" si="13">+IF(M67="NO",0,25%)+IF(N67="NO",0,25%)+IF(O67="NO",0,25%)+IF(P67="NO",0,25%)</f>
        <v>1</v>
      </c>
      <c r="R67" s="59" t="s">
        <v>4</v>
      </c>
      <c r="S67" s="59" t="s">
        <v>4</v>
      </c>
      <c r="T67" s="59" t="s">
        <v>4</v>
      </c>
      <c r="U67" s="59" t="s">
        <v>4</v>
      </c>
      <c r="V67" s="45">
        <f t="shared" ref="V67:V131" si="14">+IF(R67="NO",0,25%)+IF(S67="NO",0,25%)+IF(T67="NO",0,25%)+IF(U67="NO",0,25%)</f>
        <v>1</v>
      </c>
      <c r="W67" s="59" t="s">
        <v>4</v>
      </c>
      <c r="X67" s="59" t="s">
        <v>4</v>
      </c>
      <c r="Y67" s="59" t="s">
        <v>4</v>
      </c>
      <c r="Z67" s="59" t="s">
        <v>4</v>
      </c>
      <c r="AA67" s="59" t="s">
        <v>4</v>
      </c>
      <c r="AB67" s="59" t="s">
        <v>4</v>
      </c>
      <c r="AC67" s="45">
        <f t="shared" ref="AC67:AC131" si="15">+IF(W67="NO",0%,16.6666666666667%)+IF(X67="NO",0%,16.6666666666667%)+IF(Y67="NO",0%,16.6666666666667%)+IF(Z67="NO",0%,16.6666666666667%)+IF(AA67="NO",0%,16.6666666666667%)+IF(AB67="NO",0%,16.6666666666667%)</f>
        <v>1.000000000000002</v>
      </c>
      <c r="AD67" s="59" t="s">
        <v>4</v>
      </c>
      <c r="AE67" s="59" t="s">
        <v>4</v>
      </c>
      <c r="AF67" s="97">
        <f t="shared" ref="AF67:AF131" si="16">+IF(AD67="NO",0%,50%)+IF(AE67="NO",0%,50%)</f>
        <v>1</v>
      </c>
      <c r="AG67" s="44">
        <f t="shared" ref="AG67:AG131" si="17">AVERAGE(AF67,AC67,V67,Q67)</f>
        <v>1.0000000000000004</v>
      </c>
      <c r="AH67" s="55">
        <f t="shared" ref="AH67:AH131" si="18">+COUNTIF(W67:AB67,"no")+COUNTIF(R67:U67,"no")+COUNTIF(AD67:AE67,"no")</f>
        <v>0</v>
      </c>
      <c r="AI67" s="55">
        <f>COUNTIF('Score BD'!$M67:$P67,"no")</f>
        <v>0</v>
      </c>
      <c r="AJ67" s="55">
        <f t="shared" ref="AJ67:AJ131" si="19">+IF(COUNTA(R67:U67)=0,"-",COUNTIF(R67:U67,"NO"))</f>
        <v>0</v>
      </c>
      <c r="AK67" s="55">
        <f t="shared" ref="AK67:AK131" si="20">+IF(COUNTA(W67:AB67)=0,"-",COUNTIF(W67:AB67,"NO"))</f>
        <v>0</v>
      </c>
      <c r="AL67" s="55">
        <f t="shared" ref="AL67:AL131" si="21">+IF(COUNTA(AD67:AE67)=0,"-",COUNTIF(AD67:AE67,"NO"))</f>
        <v>0</v>
      </c>
      <c r="AM67" s="59" t="s">
        <v>356</v>
      </c>
      <c r="AN67" s="46"/>
      <c r="AO67" s="43"/>
      <c r="AP67" s="43"/>
      <c r="AQ67" s="59" t="str">
        <f>IFERROR(_xlfn.XLOOKUP(Tabla1[[#This Row],[Cedula agente]],Lista!$B$2:$B$97,Lista!$G$2:$G$97)," ")</f>
        <v>Luisa Fernanda Benavides Castrillon</v>
      </c>
      <c r="AR67" s="59" t="s">
        <v>162</v>
      </c>
      <c r="AS67" s="55" t="str">
        <f>IFERROR(_xlfn.XLOOKUP(Tabla1[[#This Row],[Cedula agente]],Lista!$B$2:$B$97,Lista!$F$2:$F$97)," ")</f>
        <v>John Sebastian Roncancio Avendaño</v>
      </c>
      <c r="AT67" s="99">
        <v>0.95</v>
      </c>
      <c r="AU67" s="200">
        <f>+WEEKNUM('Score BD'!$H67)-WEEKNUM(DATE(YEAR('Score BD'!$H67),MONTH('Score BD'!$H67),1))+1</f>
        <v>2</v>
      </c>
    </row>
    <row r="68" spans="1:47" ht="17.45" customHeight="1" x14ac:dyDescent="0.3">
      <c r="A68" s="49" t="str">
        <f t="shared" si="11"/>
        <v>Ministerio de Educación Nacional</v>
      </c>
      <c r="B68" s="50">
        <f>+IFERROR(COUNTIF($J$3:J68,J68)," ")</f>
        <v>5</v>
      </c>
      <c r="C68" s="54" t="str">
        <f>+'Score BD'!$J68&amp;'Score BD'!$B68</f>
        <v>Juan Jose Santoya Medina5</v>
      </c>
      <c r="D68" s="91" t="s">
        <v>148</v>
      </c>
      <c r="E68" s="92" t="s">
        <v>165</v>
      </c>
      <c r="F68" s="92" t="s">
        <v>212</v>
      </c>
      <c r="G68" s="60" t="str">
        <f t="shared" si="12"/>
        <v>Noviembre</v>
      </c>
      <c r="H68" s="65">
        <v>45968</v>
      </c>
      <c r="I68" s="243">
        <v>45967</v>
      </c>
      <c r="J68" s="57" t="s">
        <v>178</v>
      </c>
      <c r="K68" s="54">
        <f>IFERROR(VLOOKUP('Score BD'!$J68,Lista!A:B,2,0)," ")</f>
        <v>1053345183</v>
      </c>
      <c r="L68" s="61" t="s">
        <v>311</v>
      </c>
      <c r="M68" s="59" t="s">
        <v>4</v>
      </c>
      <c r="N68" s="59" t="s">
        <v>4</v>
      </c>
      <c r="O68" s="59" t="s">
        <v>4</v>
      </c>
      <c r="P68" s="59" t="s">
        <v>4</v>
      </c>
      <c r="Q68" s="96">
        <f t="shared" si="13"/>
        <v>1</v>
      </c>
      <c r="R68" s="59" t="s">
        <v>4</v>
      </c>
      <c r="S68" s="59" t="s">
        <v>4</v>
      </c>
      <c r="T68" s="59" t="s">
        <v>4</v>
      </c>
      <c r="U68" s="59" t="s">
        <v>4</v>
      </c>
      <c r="V68" s="45">
        <f t="shared" si="14"/>
        <v>1</v>
      </c>
      <c r="W68" s="59" t="s">
        <v>4</v>
      </c>
      <c r="X68" s="59" t="s">
        <v>4</v>
      </c>
      <c r="Y68" s="59" t="s">
        <v>4</v>
      </c>
      <c r="Z68" s="59" t="s">
        <v>4</v>
      </c>
      <c r="AA68" s="59" t="s">
        <v>4</v>
      </c>
      <c r="AB68" s="59" t="s">
        <v>4</v>
      </c>
      <c r="AC68" s="45">
        <f t="shared" si="15"/>
        <v>1.000000000000002</v>
      </c>
      <c r="AD68" s="59" t="s">
        <v>4</v>
      </c>
      <c r="AE68" s="59" t="s">
        <v>4</v>
      </c>
      <c r="AF68" s="97">
        <f t="shared" si="16"/>
        <v>1</v>
      </c>
      <c r="AG68" s="44">
        <f t="shared" si="17"/>
        <v>1.0000000000000004</v>
      </c>
      <c r="AH68" s="55">
        <f t="shared" si="18"/>
        <v>0</v>
      </c>
      <c r="AI68" s="55">
        <f>COUNTIF('Score BD'!$M68:$P68,"no")</f>
        <v>0</v>
      </c>
      <c r="AJ68" s="55">
        <f t="shared" si="19"/>
        <v>0</v>
      </c>
      <c r="AK68" s="55">
        <f t="shared" si="20"/>
        <v>0</v>
      </c>
      <c r="AL68" s="55">
        <f t="shared" si="21"/>
        <v>0</v>
      </c>
      <c r="AM68" s="59" t="s">
        <v>356</v>
      </c>
      <c r="AN68" s="46"/>
      <c r="AO68" s="43"/>
      <c r="AP68" s="43"/>
      <c r="AQ68" s="59" t="str">
        <f>IFERROR(_xlfn.XLOOKUP(Tabla1[[#This Row],[Cedula agente]],Lista!$B$2:$B$97,Lista!$G$2:$G$97)," ")</f>
        <v>Luisa Fernanda Benavides Castrillon</v>
      </c>
      <c r="AR68" s="59" t="s">
        <v>162</v>
      </c>
      <c r="AS68" s="55" t="str">
        <f>IFERROR(_xlfn.XLOOKUP(Tabla1[[#This Row],[Cedula agente]],Lista!$B$2:$B$97,Lista!$F$2:$F$97)," ")</f>
        <v>John Sebastian Roncancio Avendaño</v>
      </c>
      <c r="AT68" s="99">
        <v>0.95</v>
      </c>
      <c r="AU68" s="200">
        <f>+WEEKNUM('Score BD'!$H68)-WEEKNUM(DATE(YEAR('Score BD'!$H68),MONTH('Score BD'!$H68),1))+1</f>
        <v>2</v>
      </c>
    </row>
    <row r="69" spans="1:47" ht="17.45" customHeight="1" x14ac:dyDescent="0.3">
      <c r="A69" s="49" t="str">
        <f t="shared" si="11"/>
        <v>Ministerio de Educación Nacional</v>
      </c>
      <c r="B69" s="50">
        <f>+IFERROR(COUNTIF($J$3:J69,J69)," ")</f>
        <v>6</v>
      </c>
      <c r="C69" s="54" t="str">
        <f>+'Score BD'!$J69&amp;'Score BD'!$B69</f>
        <v>Juan Jose Santoya Medina6</v>
      </c>
      <c r="D69" s="91" t="s">
        <v>148</v>
      </c>
      <c r="E69" s="92" t="s">
        <v>165</v>
      </c>
      <c r="F69" s="92" t="s">
        <v>212</v>
      </c>
      <c r="G69" s="60" t="str">
        <f t="shared" si="12"/>
        <v>Noviembre</v>
      </c>
      <c r="H69" s="65">
        <v>45968</v>
      </c>
      <c r="I69" s="243">
        <v>45967</v>
      </c>
      <c r="J69" s="57" t="s">
        <v>178</v>
      </c>
      <c r="K69" s="54">
        <f>IFERROR(VLOOKUP('Score BD'!$J69,Lista!A:B,2,0)," ")</f>
        <v>1053345183</v>
      </c>
      <c r="L69" s="61" t="s">
        <v>312</v>
      </c>
      <c r="M69" s="59" t="s">
        <v>4</v>
      </c>
      <c r="N69" s="59" t="s">
        <v>4</v>
      </c>
      <c r="O69" s="59" t="s">
        <v>4</v>
      </c>
      <c r="P69" s="59" t="s">
        <v>4</v>
      </c>
      <c r="Q69" s="96">
        <f t="shared" si="13"/>
        <v>1</v>
      </c>
      <c r="R69" s="59" t="s">
        <v>4</v>
      </c>
      <c r="S69" s="59" t="s">
        <v>4</v>
      </c>
      <c r="T69" s="59" t="s">
        <v>4</v>
      </c>
      <c r="U69" s="59" t="s">
        <v>4</v>
      </c>
      <c r="V69" s="45">
        <f t="shared" si="14"/>
        <v>1</v>
      </c>
      <c r="W69" s="59" t="s">
        <v>4</v>
      </c>
      <c r="X69" s="59" t="s">
        <v>4</v>
      </c>
      <c r="Y69" s="59" t="s">
        <v>4</v>
      </c>
      <c r="Z69" s="59" t="s">
        <v>4</v>
      </c>
      <c r="AA69" s="59" t="s">
        <v>4</v>
      </c>
      <c r="AB69" s="59" t="s">
        <v>4</v>
      </c>
      <c r="AC69" s="45">
        <f t="shared" si="15"/>
        <v>1.000000000000002</v>
      </c>
      <c r="AD69" s="59" t="s">
        <v>4</v>
      </c>
      <c r="AE69" s="59" t="s">
        <v>4</v>
      </c>
      <c r="AF69" s="97">
        <f t="shared" si="16"/>
        <v>1</v>
      </c>
      <c r="AG69" s="44">
        <f t="shared" si="17"/>
        <v>1.0000000000000004</v>
      </c>
      <c r="AH69" s="55">
        <f t="shared" si="18"/>
        <v>0</v>
      </c>
      <c r="AI69" s="55">
        <f>COUNTIF('Score BD'!$M69:$P69,"no")</f>
        <v>0</v>
      </c>
      <c r="AJ69" s="55">
        <f t="shared" si="19"/>
        <v>0</v>
      </c>
      <c r="AK69" s="55">
        <f t="shared" si="20"/>
        <v>0</v>
      </c>
      <c r="AL69" s="55">
        <f t="shared" si="21"/>
        <v>0</v>
      </c>
      <c r="AM69" s="59" t="s">
        <v>356</v>
      </c>
      <c r="AN69" s="46"/>
      <c r="AO69" s="43"/>
      <c r="AP69" s="43"/>
      <c r="AQ69" s="59" t="str">
        <f>IFERROR(_xlfn.XLOOKUP(Tabla1[[#This Row],[Cedula agente]],Lista!$B$2:$B$97,Lista!$G$2:$G$97)," ")</f>
        <v>Luisa Fernanda Benavides Castrillon</v>
      </c>
      <c r="AR69" s="59" t="s">
        <v>162</v>
      </c>
      <c r="AS69" s="55" t="str">
        <f>IFERROR(_xlfn.XLOOKUP(Tabla1[[#This Row],[Cedula agente]],Lista!$B$2:$B$97,Lista!$F$2:$F$97)," ")</f>
        <v>John Sebastian Roncancio Avendaño</v>
      </c>
      <c r="AT69" s="99">
        <v>0.95</v>
      </c>
      <c r="AU69" s="200">
        <f>+WEEKNUM('Score BD'!$H69)-WEEKNUM(DATE(YEAR('Score BD'!$H69),MONTH('Score BD'!$H69),1))+1</f>
        <v>2</v>
      </c>
    </row>
    <row r="70" spans="1:47" ht="17.45" customHeight="1" x14ac:dyDescent="0.3">
      <c r="A70" s="49" t="str">
        <f t="shared" si="11"/>
        <v>Ministerio de Educación Nacional</v>
      </c>
      <c r="B70" s="50">
        <f>+IFERROR(COUNTIF($J$3:J70,J70)," ")</f>
        <v>3</v>
      </c>
      <c r="C70" s="54" t="str">
        <f>+'Score BD'!$J70&amp;'Score BD'!$B70</f>
        <v>Juan Sebastián Suárez Morales3</v>
      </c>
      <c r="D70" s="91" t="s">
        <v>148</v>
      </c>
      <c r="E70" s="92" t="s">
        <v>165</v>
      </c>
      <c r="F70" s="92" t="s">
        <v>212</v>
      </c>
      <c r="G70" s="60" t="str">
        <f t="shared" si="12"/>
        <v>Noviembre</v>
      </c>
      <c r="H70" s="65">
        <v>45968</v>
      </c>
      <c r="I70" s="243">
        <v>45967</v>
      </c>
      <c r="J70" s="57" t="s">
        <v>179</v>
      </c>
      <c r="K70" s="54">
        <f>IFERROR(VLOOKUP('Score BD'!$J70,Lista!A:B,2,0)," ")</f>
        <v>1030541070</v>
      </c>
      <c r="L70" s="61" t="s">
        <v>313</v>
      </c>
      <c r="M70" s="59" t="s">
        <v>4</v>
      </c>
      <c r="N70" s="59" t="s">
        <v>4</v>
      </c>
      <c r="O70" s="59" t="s">
        <v>4</v>
      </c>
      <c r="P70" s="59" t="s">
        <v>4</v>
      </c>
      <c r="Q70" s="96">
        <f t="shared" si="13"/>
        <v>1</v>
      </c>
      <c r="R70" s="59" t="s">
        <v>4</v>
      </c>
      <c r="S70" s="59" t="s">
        <v>4</v>
      </c>
      <c r="T70" s="59" t="s">
        <v>4</v>
      </c>
      <c r="U70" s="59" t="s">
        <v>4</v>
      </c>
      <c r="V70" s="45">
        <f t="shared" si="14"/>
        <v>1</v>
      </c>
      <c r="W70" s="59" t="s">
        <v>4</v>
      </c>
      <c r="X70" s="59" t="s">
        <v>4</v>
      </c>
      <c r="Y70" s="59" t="s">
        <v>4</v>
      </c>
      <c r="Z70" s="59" t="s">
        <v>4</v>
      </c>
      <c r="AA70" s="59" t="s">
        <v>4</v>
      </c>
      <c r="AB70" s="59" t="s">
        <v>4</v>
      </c>
      <c r="AC70" s="45">
        <f t="shared" si="15"/>
        <v>1.000000000000002</v>
      </c>
      <c r="AD70" s="59" t="s">
        <v>4</v>
      </c>
      <c r="AE70" s="59" t="s">
        <v>4</v>
      </c>
      <c r="AF70" s="97">
        <f t="shared" si="16"/>
        <v>1</v>
      </c>
      <c r="AG70" s="44">
        <f t="shared" si="17"/>
        <v>1.0000000000000004</v>
      </c>
      <c r="AH70" s="55">
        <f t="shared" si="18"/>
        <v>0</v>
      </c>
      <c r="AI70" s="55">
        <f>COUNTIF('Score BD'!$M70:$P70,"no")</f>
        <v>0</v>
      </c>
      <c r="AJ70" s="55">
        <f t="shared" si="19"/>
        <v>0</v>
      </c>
      <c r="AK70" s="55">
        <f t="shared" si="20"/>
        <v>0</v>
      </c>
      <c r="AL70" s="55">
        <f t="shared" si="21"/>
        <v>0</v>
      </c>
      <c r="AM70" s="59" t="s">
        <v>356</v>
      </c>
      <c r="AN70" s="46"/>
      <c r="AO70" s="43"/>
      <c r="AP70" s="43"/>
      <c r="AQ70" s="59" t="str">
        <f>IFERROR(_xlfn.XLOOKUP(Tabla1[[#This Row],[Cedula agente]],Lista!$B$2:$B$97,Lista!$G$2:$G$97)," ")</f>
        <v>Luisa Fernanda Benavides Castrillon</v>
      </c>
      <c r="AR70" s="59" t="s">
        <v>162</v>
      </c>
      <c r="AS70" s="55" t="str">
        <f>IFERROR(_xlfn.XLOOKUP(Tabla1[[#This Row],[Cedula agente]],Lista!$B$2:$B$97,Lista!$F$2:$F$97)," ")</f>
        <v>John Sebastian Roncancio Avendaño</v>
      </c>
      <c r="AT70" s="99">
        <v>0.95</v>
      </c>
      <c r="AU70" s="200">
        <f>+WEEKNUM('Score BD'!$H70)-WEEKNUM(DATE(YEAR('Score BD'!$H70),MONTH('Score BD'!$H70),1))+1</f>
        <v>2</v>
      </c>
    </row>
    <row r="71" spans="1:47" ht="17.45" customHeight="1" x14ac:dyDescent="0.3">
      <c r="A71" s="49" t="str">
        <f t="shared" si="11"/>
        <v>Ministerio de Educación Nacional</v>
      </c>
      <c r="B71" s="50">
        <f>+IFERROR(COUNTIF($J$3:J71,J71)," ")</f>
        <v>3</v>
      </c>
      <c r="C71" s="54" t="str">
        <f>+'Score BD'!$J71&amp;'Score BD'!$B71</f>
        <v>Laura Juliana Rueda Durán3</v>
      </c>
      <c r="D71" s="91" t="s">
        <v>148</v>
      </c>
      <c r="E71" s="92" t="s">
        <v>165</v>
      </c>
      <c r="F71" s="92" t="s">
        <v>212</v>
      </c>
      <c r="G71" s="60" t="str">
        <f t="shared" si="12"/>
        <v>Noviembre</v>
      </c>
      <c r="H71" s="65">
        <v>45968</v>
      </c>
      <c r="I71" s="243">
        <v>45967</v>
      </c>
      <c r="J71" s="57" t="s">
        <v>180</v>
      </c>
      <c r="K71" s="54">
        <f>IFERROR(VLOOKUP('Score BD'!$J71,Lista!A:B,2,0)," ")</f>
        <v>1026291591</v>
      </c>
      <c r="L71" s="61" t="s">
        <v>314</v>
      </c>
      <c r="M71" s="59" t="s">
        <v>4</v>
      </c>
      <c r="N71" s="59" t="s">
        <v>4</v>
      </c>
      <c r="O71" s="59" t="s">
        <v>4</v>
      </c>
      <c r="P71" s="59" t="s">
        <v>4</v>
      </c>
      <c r="Q71" s="96">
        <f t="shared" si="13"/>
        <v>1</v>
      </c>
      <c r="R71" s="59" t="s">
        <v>4</v>
      </c>
      <c r="S71" s="59" t="s">
        <v>4</v>
      </c>
      <c r="T71" s="59" t="s">
        <v>4</v>
      </c>
      <c r="U71" s="59" t="s">
        <v>4</v>
      </c>
      <c r="V71" s="45">
        <f t="shared" si="14"/>
        <v>1</v>
      </c>
      <c r="W71" s="59" t="s">
        <v>4</v>
      </c>
      <c r="X71" s="59" t="s">
        <v>4</v>
      </c>
      <c r="Y71" s="59" t="s">
        <v>4</v>
      </c>
      <c r="Z71" s="59" t="s">
        <v>4</v>
      </c>
      <c r="AA71" s="59" t="s">
        <v>4</v>
      </c>
      <c r="AB71" s="59" t="s">
        <v>4</v>
      </c>
      <c r="AC71" s="45">
        <f t="shared" si="15"/>
        <v>1.000000000000002</v>
      </c>
      <c r="AD71" s="59" t="s">
        <v>4</v>
      </c>
      <c r="AE71" s="59" t="s">
        <v>4</v>
      </c>
      <c r="AF71" s="97">
        <f t="shared" si="16"/>
        <v>1</v>
      </c>
      <c r="AG71" s="44">
        <f t="shared" si="17"/>
        <v>1.0000000000000004</v>
      </c>
      <c r="AH71" s="55">
        <f t="shared" si="18"/>
        <v>0</v>
      </c>
      <c r="AI71" s="55">
        <f>COUNTIF('Score BD'!$M71:$P71,"no")</f>
        <v>0</v>
      </c>
      <c r="AJ71" s="55">
        <f t="shared" si="19"/>
        <v>0</v>
      </c>
      <c r="AK71" s="55">
        <f t="shared" si="20"/>
        <v>0</v>
      </c>
      <c r="AL71" s="55">
        <f t="shared" si="21"/>
        <v>0</v>
      </c>
      <c r="AM71" s="59" t="s">
        <v>356</v>
      </c>
      <c r="AN71" s="59"/>
      <c r="AO71" s="102"/>
      <c r="AP71" s="102"/>
      <c r="AQ71" s="59" t="str">
        <f>IFERROR(_xlfn.XLOOKUP(Tabla1[[#This Row],[Cedula agente]],Lista!$B$2:$B$97,Lista!$G$2:$G$97)," ")</f>
        <v>Luisa Fernanda Benavides Castrillon</v>
      </c>
      <c r="AR71" s="59" t="s">
        <v>162</v>
      </c>
      <c r="AS71" s="55" t="str">
        <f>IFERROR(_xlfn.XLOOKUP(Tabla1[[#This Row],[Cedula agente]],Lista!$B$2:$B$97,Lista!$F$2:$F$97)," ")</f>
        <v>John Sebastian Roncancio Avendaño</v>
      </c>
      <c r="AT71" s="99">
        <v>0.95</v>
      </c>
      <c r="AU71" s="200">
        <f>+WEEKNUM('Score BD'!$H71)-WEEKNUM(DATE(YEAR('Score BD'!$H71),MONTH('Score BD'!$H71),1))+1</f>
        <v>2</v>
      </c>
    </row>
    <row r="72" spans="1:47" ht="17.45" customHeight="1" x14ac:dyDescent="0.3">
      <c r="A72" s="49" t="str">
        <f t="shared" si="11"/>
        <v>Ministerio de Educación Nacional</v>
      </c>
      <c r="B72" s="50">
        <f>+IFERROR(COUNTIF($J$3:J72,J72)," ")</f>
        <v>3</v>
      </c>
      <c r="C72" s="54" t="str">
        <f>+'Score BD'!$J72&amp;'Score BD'!$B72</f>
        <v>Laura Ximena Sandoval Galindo3</v>
      </c>
      <c r="D72" s="91" t="s">
        <v>148</v>
      </c>
      <c r="E72" s="92" t="s">
        <v>208</v>
      </c>
      <c r="F72" s="92" t="s">
        <v>212</v>
      </c>
      <c r="G72" s="60" t="str">
        <f t="shared" si="12"/>
        <v>Noviembre</v>
      </c>
      <c r="H72" s="65">
        <v>45968</v>
      </c>
      <c r="I72" s="243">
        <v>45967</v>
      </c>
      <c r="J72" s="57" t="s">
        <v>201</v>
      </c>
      <c r="K72" s="54">
        <f>IFERROR(VLOOKUP('Score BD'!$J72,Lista!A:B,2,0)," ")</f>
        <v>1030678660</v>
      </c>
      <c r="L72" s="61" t="s">
        <v>315</v>
      </c>
      <c r="M72" s="59" t="s">
        <v>4</v>
      </c>
      <c r="N72" s="59" t="s">
        <v>4</v>
      </c>
      <c r="O72" s="59" t="s">
        <v>4</v>
      </c>
      <c r="P72" s="59" t="s">
        <v>4</v>
      </c>
      <c r="Q72" s="96">
        <f t="shared" si="13"/>
        <v>1</v>
      </c>
      <c r="R72" s="59" t="s">
        <v>4</v>
      </c>
      <c r="S72" s="59" t="s">
        <v>4</v>
      </c>
      <c r="T72" s="59" t="s">
        <v>4</v>
      </c>
      <c r="U72" s="59" t="s">
        <v>4</v>
      </c>
      <c r="V72" s="45">
        <f t="shared" si="14"/>
        <v>1</v>
      </c>
      <c r="W72" s="59" t="s">
        <v>4</v>
      </c>
      <c r="X72" s="59" t="s">
        <v>4</v>
      </c>
      <c r="Y72" s="59" t="s">
        <v>4</v>
      </c>
      <c r="Z72" s="59" t="s">
        <v>4</v>
      </c>
      <c r="AA72" s="59" t="s">
        <v>4</v>
      </c>
      <c r="AB72" s="59" t="s">
        <v>4</v>
      </c>
      <c r="AC72" s="45">
        <f t="shared" si="15"/>
        <v>1.000000000000002</v>
      </c>
      <c r="AD72" s="59" t="s">
        <v>4</v>
      </c>
      <c r="AE72" s="59" t="s">
        <v>4</v>
      </c>
      <c r="AF72" s="97">
        <f t="shared" si="16"/>
        <v>1</v>
      </c>
      <c r="AG72" s="44">
        <f t="shared" si="17"/>
        <v>1.0000000000000004</v>
      </c>
      <c r="AH72" s="55">
        <f t="shared" si="18"/>
        <v>0</v>
      </c>
      <c r="AI72" s="55">
        <f>COUNTIF('Score BD'!$M72:$P72,"no")</f>
        <v>0</v>
      </c>
      <c r="AJ72" s="55">
        <f t="shared" si="19"/>
        <v>0</v>
      </c>
      <c r="AK72" s="55">
        <f t="shared" si="20"/>
        <v>0</v>
      </c>
      <c r="AL72" s="64">
        <f t="shared" si="21"/>
        <v>0</v>
      </c>
      <c r="AM72" s="59" t="s">
        <v>356</v>
      </c>
      <c r="AN72" s="46"/>
      <c r="AO72" s="43"/>
      <c r="AP72" s="43"/>
      <c r="AQ72" s="59" t="str">
        <f>IFERROR(_xlfn.XLOOKUP(Tabla1[[#This Row],[Cedula agente]],Lista!$B$2:$B$97,Lista!$G$2:$G$97)," ")</f>
        <v>Luisa Fernanda Benavides Castrillon</v>
      </c>
      <c r="AR72" s="59" t="s">
        <v>162</v>
      </c>
      <c r="AS72" s="55" t="str">
        <f>IFERROR(_xlfn.XLOOKUP(Tabla1[[#This Row],[Cedula agente]],Lista!$B$2:$B$97,Lista!$F$2:$F$97)," ")</f>
        <v>John Sebastian Roncancio Avendaño</v>
      </c>
      <c r="AT72" s="99">
        <v>0.95</v>
      </c>
      <c r="AU72" s="200">
        <f>+WEEKNUM('Score BD'!$H72)-WEEKNUM(DATE(YEAR('Score BD'!$H72),MONTH('Score BD'!$H72),1))+1</f>
        <v>2</v>
      </c>
    </row>
    <row r="73" spans="1:47" ht="17.45" customHeight="1" x14ac:dyDescent="0.3">
      <c r="A73" s="49" t="str">
        <f t="shared" si="11"/>
        <v>Ministerio de Educación Nacional</v>
      </c>
      <c r="B73" s="50">
        <f>+IFERROR(COUNTIF($J$3:J73,J73)," ")</f>
        <v>5</v>
      </c>
      <c r="C73" s="54" t="str">
        <f>+'Score BD'!$J73&amp;'Score BD'!$B73</f>
        <v>Maira Alejandra Rodriguez Losada5</v>
      </c>
      <c r="D73" s="91" t="s">
        <v>148</v>
      </c>
      <c r="E73" s="92" t="s">
        <v>164</v>
      </c>
      <c r="F73" s="92" t="s">
        <v>212</v>
      </c>
      <c r="G73" s="60" t="str">
        <f t="shared" si="12"/>
        <v>Noviembre</v>
      </c>
      <c r="H73" s="65">
        <v>45968</v>
      </c>
      <c r="I73" s="243">
        <v>45967</v>
      </c>
      <c r="J73" s="57" t="s">
        <v>204</v>
      </c>
      <c r="K73" s="54">
        <f>IFERROR(VLOOKUP('Score BD'!$J73,Lista!A:B,2,0)," ")</f>
        <v>1075224344</v>
      </c>
      <c r="L73" s="61" t="s">
        <v>316</v>
      </c>
      <c r="M73" s="59" t="s">
        <v>4</v>
      </c>
      <c r="N73" s="59" t="s">
        <v>4</v>
      </c>
      <c r="O73" s="59" t="s">
        <v>4</v>
      </c>
      <c r="P73" s="59" t="s">
        <v>4</v>
      </c>
      <c r="Q73" s="96">
        <f t="shared" si="13"/>
        <v>1</v>
      </c>
      <c r="R73" s="59" t="s">
        <v>4</v>
      </c>
      <c r="S73" s="59" t="s">
        <v>4</v>
      </c>
      <c r="T73" s="59" t="s">
        <v>4</v>
      </c>
      <c r="U73" s="59" t="s">
        <v>4</v>
      </c>
      <c r="V73" s="72">
        <f t="shared" si="14"/>
        <v>1</v>
      </c>
      <c r="W73" s="59" t="s">
        <v>4</v>
      </c>
      <c r="X73" s="59" t="s">
        <v>4</v>
      </c>
      <c r="Y73" s="59" t="s">
        <v>4</v>
      </c>
      <c r="Z73" s="59" t="s">
        <v>4</v>
      </c>
      <c r="AA73" s="59" t="s">
        <v>4</v>
      </c>
      <c r="AB73" s="59" t="s">
        <v>4</v>
      </c>
      <c r="AC73" s="72">
        <f t="shared" si="15"/>
        <v>1.000000000000002</v>
      </c>
      <c r="AD73" s="59" t="s">
        <v>4</v>
      </c>
      <c r="AE73" s="59" t="s">
        <v>4</v>
      </c>
      <c r="AF73" s="97">
        <f t="shared" si="16"/>
        <v>1</v>
      </c>
      <c r="AG73" s="44">
        <f t="shared" si="17"/>
        <v>1.0000000000000004</v>
      </c>
      <c r="AH73" s="55">
        <f t="shared" si="18"/>
        <v>0</v>
      </c>
      <c r="AI73" s="55">
        <f>COUNTIF('Score BD'!$M73:$P73,"no")</f>
        <v>0</v>
      </c>
      <c r="AJ73" s="55">
        <f t="shared" si="19"/>
        <v>0</v>
      </c>
      <c r="AK73" s="55">
        <f t="shared" si="20"/>
        <v>0</v>
      </c>
      <c r="AL73" s="55">
        <f t="shared" si="21"/>
        <v>0</v>
      </c>
      <c r="AM73" s="59" t="s">
        <v>356</v>
      </c>
      <c r="AN73" s="55"/>
      <c r="AO73" s="55"/>
      <c r="AP73" s="43"/>
      <c r="AQ73" s="59" t="str">
        <f>IFERROR(_xlfn.XLOOKUP(Tabla1[[#This Row],[Cedula agente]],Lista!$B$2:$B$97,Lista!$G$2:$G$97)," ")</f>
        <v>Luisa Fernanda Benavides Castrillon</v>
      </c>
      <c r="AR73" s="59" t="s">
        <v>162</v>
      </c>
      <c r="AS73" s="55" t="str">
        <f>IFERROR(_xlfn.XLOOKUP(Tabla1[[#This Row],[Cedula agente]],Lista!$B$2:$B$97,Lista!$F$2:$F$97)," ")</f>
        <v>John Sebastian Roncancio Avendaño</v>
      </c>
      <c r="AT73" s="99">
        <v>0.95</v>
      </c>
      <c r="AU73" s="200">
        <f>+WEEKNUM('Score BD'!$H73)-WEEKNUM(DATE(YEAR('Score BD'!$H73),MONTH('Score BD'!$H73),1))+1</f>
        <v>2</v>
      </c>
    </row>
    <row r="74" spans="1:47" ht="17.45" customHeight="1" x14ac:dyDescent="0.3">
      <c r="A74" s="49" t="str">
        <f t="shared" si="11"/>
        <v>Ministerio de Educación Nacional</v>
      </c>
      <c r="B74" s="50">
        <f>+IFERROR(COUNTIF($J$3:J74,J74)," ")</f>
        <v>6</v>
      </c>
      <c r="C74" s="54" t="str">
        <f>+'Score BD'!$J74&amp;'Score BD'!$B74</f>
        <v>Maira Alejandra Rodriguez Losada6</v>
      </c>
      <c r="D74" s="91" t="s">
        <v>148</v>
      </c>
      <c r="E74" s="92" t="s">
        <v>164</v>
      </c>
      <c r="F74" s="92" t="s">
        <v>212</v>
      </c>
      <c r="G74" s="60" t="str">
        <f t="shared" si="12"/>
        <v>Noviembre</v>
      </c>
      <c r="H74" s="65">
        <v>45968</v>
      </c>
      <c r="I74" s="243">
        <v>45967</v>
      </c>
      <c r="J74" s="57" t="s">
        <v>204</v>
      </c>
      <c r="K74" s="54">
        <f>IFERROR(VLOOKUP('Score BD'!$J74,Lista!A:B,2,0)," ")</f>
        <v>1075224344</v>
      </c>
      <c r="L74" s="61" t="s">
        <v>317</v>
      </c>
      <c r="M74" s="59" t="s">
        <v>4</v>
      </c>
      <c r="N74" s="59" t="s">
        <v>4</v>
      </c>
      <c r="O74" s="59" t="s">
        <v>4</v>
      </c>
      <c r="P74" s="59" t="s">
        <v>4</v>
      </c>
      <c r="Q74" s="96">
        <f t="shared" si="13"/>
        <v>1</v>
      </c>
      <c r="R74" s="59" t="s">
        <v>4</v>
      </c>
      <c r="S74" s="59" t="s">
        <v>4</v>
      </c>
      <c r="T74" s="59" t="s">
        <v>4</v>
      </c>
      <c r="U74" s="59" t="s">
        <v>4</v>
      </c>
      <c r="V74" s="72">
        <f t="shared" si="14"/>
        <v>1</v>
      </c>
      <c r="W74" s="59" t="s">
        <v>4</v>
      </c>
      <c r="X74" s="59" t="s">
        <v>4</v>
      </c>
      <c r="Y74" s="59" t="s">
        <v>4</v>
      </c>
      <c r="Z74" s="59" t="s">
        <v>4</v>
      </c>
      <c r="AA74" s="59" t="s">
        <v>4</v>
      </c>
      <c r="AB74" s="59" t="s">
        <v>4</v>
      </c>
      <c r="AC74" s="72">
        <f t="shared" si="15"/>
        <v>1.000000000000002</v>
      </c>
      <c r="AD74" s="59" t="s">
        <v>4</v>
      </c>
      <c r="AE74" s="59" t="s">
        <v>4</v>
      </c>
      <c r="AF74" s="97">
        <f t="shared" si="16"/>
        <v>1</v>
      </c>
      <c r="AG74" s="44">
        <f t="shared" si="17"/>
        <v>1.0000000000000004</v>
      </c>
      <c r="AH74" s="55">
        <f t="shared" si="18"/>
        <v>0</v>
      </c>
      <c r="AI74" s="55">
        <f>COUNTIF('Score BD'!$M74:$P74,"no")</f>
        <v>0</v>
      </c>
      <c r="AJ74" s="55">
        <f t="shared" si="19"/>
        <v>0</v>
      </c>
      <c r="AK74" s="55">
        <f t="shared" si="20"/>
        <v>0</v>
      </c>
      <c r="AL74" s="55">
        <f t="shared" si="21"/>
        <v>0</v>
      </c>
      <c r="AM74" s="59" t="s">
        <v>356</v>
      </c>
      <c r="AN74" s="55"/>
      <c r="AO74" s="55"/>
      <c r="AP74" s="43"/>
      <c r="AQ74" s="59" t="str">
        <f>IFERROR(_xlfn.XLOOKUP(Tabla1[[#This Row],[Cedula agente]],Lista!$B$2:$B$97,Lista!$G$2:$G$97)," ")</f>
        <v>Luisa Fernanda Benavides Castrillon</v>
      </c>
      <c r="AR74" s="59" t="s">
        <v>162</v>
      </c>
      <c r="AS74" s="55" t="str">
        <f>IFERROR(_xlfn.XLOOKUP(Tabla1[[#This Row],[Cedula agente]],Lista!$B$2:$B$97,Lista!$F$2:$F$97)," ")</f>
        <v>John Sebastian Roncancio Avendaño</v>
      </c>
      <c r="AT74" s="99">
        <v>0.95</v>
      </c>
      <c r="AU74" s="200">
        <f>+WEEKNUM('Score BD'!$H74)-WEEKNUM(DATE(YEAR('Score BD'!$H74),MONTH('Score BD'!$H74),1))+1</f>
        <v>2</v>
      </c>
    </row>
    <row r="75" spans="1:47" ht="17.45" customHeight="1" x14ac:dyDescent="0.3">
      <c r="A75" s="49" t="str">
        <f t="shared" si="11"/>
        <v>Ministerio de Educación Nacional</v>
      </c>
      <c r="B75" s="50">
        <f>+IFERROR(COUNTIF($J$3:J75,J75)," ")</f>
        <v>5</v>
      </c>
      <c r="C75" s="54" t="str">
        <f>+'Score BD'!$J75&amp;'Score BD'!$B75</f>
        <v>María José Uribe Medina5</v>
      </c>
      <c r="D75" s="91" t="s">
        <v>148</v>
      </c>
      <c r="E75" s="92" t="s">
        <v>164</v>
      </c>
      <c r="F75" s="92" t="s">
        <v>212</v>
      </c>
      <c r="G75" s="60" t="str">
        <f t="shared" si="12"/>
        <v>Noviembre</v>
      </c>
      <c r="H75" s="65">
        <v>45968</v>
      </c>
      <c r="I75" s="243">
        <v>45967</v>
      </c>
      <c r="J75" s="57" t="s">
        <v>205</v>
      </c>
      <c r="K75" s="54">
        <f>IFERROR(VLOOKUP('Score BD'!$J75,Lista!A:B,2,0)," ")</f>
        <v>1121919150</v>
      </c>
      <c r="L75" s="61" t="s">
        <v>318</v>
      </c>
      <c r="M75" s="59" t="s">
        <v>4</v>
      </c>
      <c r="N75" s="59" t="s">
        <v>4</v>
      </c>
      <c r="O75" s="59" t="s">
        <v>4</v>
      </c>
      <c r="P75" s="59" t="s">
        <v>4</v>
      </c>
      <c r="Q75" s="96">
        <f t="shared" si="13"/>
        <v>1</v>
      </c>
      <c r="R75" s="59" t="s">
        <v>4</v>
      </c>
      <c r="S75" s="59" t="s">
        <v>4</v>
      </c>
      <c r="T75" s="59" t="s">
        <v>4</v>
      </c>
      <c r="U75" s="59" t="s">
        <v>4</v>
      </c>
      <c r="V75" s="72">
        <f t="shared" si="14"/>
        <v>1</v>
      </c>
      <c r="W75" s="59" t="s">
        <v>4</v>
      </c>
      <c r="X75" s="59" t="s">
        <v>4</v>
      </c>
      <c r="Y75" s="59" t="s">
        <v>4</v>
      </c>
      <c r="Z75" s="59" t="s">
        <v>4</v>
      </c>
      <c r="AA75" s="59" t="s">
        <v>4</v>
      </c>
      <c r="AB75" s="59" t="s">
        <v>4</v>
      </c>
      <c r="AC75" s="72">
        <f t="shared" si="15"/>
        <v>1.000000000000002</v>
      </c>
      <c r="AD75" s="59" t="s">
        <v>4</v>
      </c>
      <c r="AE75" s="59" t="s">
        <v>4</v>
      </c>
      <c r="AF75" s="97">
        <f t="shared" si="16"/>
        <v>1</v>
      </c>
      <c r="AG75" s="44">
        <f t="shared" si="17"/>
        <v>1.0000000000000004</v>
      </c>
      <c r="AH75" s="55">
        <f t="shared" si="18"/>
        <v>0</v>
      </c>
      <c r="AI75" s="55">
        <f>COUNTIF('Score BD'!$M75:$P75,"no")</f>
        <v>0</v>
      </c>
      <c r="AJ75" s="55">
        <f t="shared" si="19"/>
        <v>0</v>
      </c>
      <c r="AK75" s="55">
        <f t="shared" si="20"/>
        <v>0</v>
      </c>
      <c r="AL75" s="55">
        <f t="shared" si="21"/>
        <v>0</v>
      </c>
      <c r="AM75" s="59" t="s">
        <v>356</v>
      </c>
      <c r="AN75" s="55"/>
      <c r="AO75" s="55"/>
      <c r="AP75" s="43"/>
      <c r="AQ75" s="59" t="str">
        <f>IFERROR(_xlfn.XLOOKUP(Tabla1[[#This Row],[Cedula agente]],Lista!$B$2:$B$97,Lista!$G$2:$G$97)," ")</f>
        <v>Luisa Fernanda Benavides Castrillon</v>
      </c>
      <c r="AR75" s="59" t="s">
        <v>162</v>
      </c>
      <c r="AS75" s="55" t="str">
        <f>IFERROR(_xlfn.XLOOKUP(Tabla1[[#This Row],[Cedula agente]],Lista!$B$2:$B$97,Lista!$F$2:$F$97)," ")</f>
        <v>John Sebastian Roncancio Avendaño</v>
      </c>
      <c r="AT75" s="99">
        <v>0.95</v>
      </c>
      <c r="AU75" s="200">
        <f>+WEEKNUM('Score BD'!$H75)-WEEKNUM(DATE(YEAR('Score BD'!$H75),MONTH('Score BD'!$H75),1))+1</f>
        <v>2</v>
      </c>
    </row>
    <row r="76" spans="1:47" ht="17.45" customHeight="1" x14ac:dyDescent="0.3">
      <c r="A76" s="49" t="str">
        <f t="shared" si="11"/>
        <v>Ministerio de Educación Nacional</v>
      </c>
      <c r="B76" s="50">
        <f>+IFERROR(COUNTIF($J$3:J76,J76)," ")</f>
        <v>6</v>
      </c>
      <c r="C76" s="54" t="str">
        <f>+'Score BD'!$J76&amp;'Score BD'!$B76</f>
        <v>María José Uribe Medina6</v>
      </c>
      <c r="D76" s="91" t="s">
        <v>148</v>
      </c>
      <c r="E76" s="92" t="s">
        <v>164</v>
      </c>
      <c r="F76" s="92" t="s">
        <v>212</v>
      </c>
      <c r="G76" s="60" t="str">
        <f t="shared" si="12"/>
        <v>Noviembre</v>
      </c>
      <c r="H76" s="65">
        <v>45968</v>
      </c>
      <c r="I76" s="243">
        <v>45967</v>
      </c>
      <c r="J76" s="57" t="s">
        <v>205</v>
      </c>
      <c r="K76" s="54">
        <f>IFERROR(VLOOKUP('Score BD'!$J76,Lista!A:B,2,0)," ")</f>
        <v>1121919150</v>
      </c>
      <c r="L76" s="61" t="s">
        <v>319</v>
      </c>
      <c r="M76" s="59" t="s">
        <v>4</v>
      </c>
      <c r="N76" s="59" t="s">
        <v>4</v>
      </c>
      <c r="O76" s="59" t="s">
        <v>4</v>
      </c>
      <c r="P76" s="59" t="s">
        <v>4</v>
      </c>
      <c r="Q76" s="96">
        <f t="shared" si="13"/>
        <v>1</v>
      </c>
      <c r="R76" s="59" t="s">
        <v>4</v>
      </c>
      <c r="S76" s="59" t="s">
        <v>4</v>
      </c>
      <c r="T76" s="59" t="s">
        <v>4</v>
      </c>
      <c r="U76" s="59" t="s">
        <v>4</v>
      </c>
      <c r="V76" s="72">
        <f t="shared" si="14"/>
        <v>1</v>
      </c>
      <c r="W76" s="59" t="s">
        <v>4</v>
      </c>
      <c r="X76" s="59" t="s">
        <v>4</v>
      </c>
      <c r="Y76" s="59" t="s">
        <v>4</v>
      </c>
      <c r="Z76" s="59" t="s">
        <v>4</v>
      </c>
      <c r="AA76" s="59" t="s">
        <v>4</v>
      </c>
      <c r="AB76" s="59" t="s">
        <v>4</v>
      </c>
      <c r="AC76" s="72">
        <f t="shared" si="15"/>
        <v>1.000000000000002</v>
      </c>
      <c r="AD76" s="59" t="s">
        <v>4</v>
      </c>
      <c r="AE76" s="59" t="s">
        <v>4</v>
      </c>
      <c r="AF76" s="97">
        <f t="shared" si="16"/>
        <v>1</v>
      </c>
      <c r="AG76" s="44">
        <f t="shared" si="17"/>
        <v>1.0000000000000004</v>
      </c>
      <c r="AH76" s="55">
        <f t="shared" si="18"/>
        <v>0</v>
      </c>
      <c r="AI76" s="55">
        <f>COUNTIF('Score BD'!$M76:$P76,"no")</f>
        <v>0</v>
      </c>
      <c r="AJ76" s="55">
        <f t="shared" si="19"/>
        <v>0</v>
      </c>
      <c r="AK76" s="55">
        <f t="shared" si="20"/>
        <v>0</v>
      </c>
      <c r="AL76" s="55">
        <f t="shared" si="21"/>
        <v>0</v>
      </c>
      <c r="AM76" s="59" t="s">
        <v>356</v>
      </c>
      <c r="AN76" s="55"/>
      <c r="AO76" s="55"/>
      <c r="AP76" s="43"/>
      <c r="AQ76" s="59" t="str">
        <f>IFERROR(_xlfn.XLOOKUP(Tabla1[[#This Row],[Cedula agente]],Lista!$B$2:$B$97,Lista!$G$2:$G$97)," ")</f>
        <v>Luisa Fernanda Benavides Castrillon</v>
      </c>
      <c r="AR76" s="59" t="s">
        <v>162</v>
      </c>
      <c r="AS76" s="55" t="str">
        <f>IFERROR(_xlfn.XLOOKUP(Tabla1[[#This Row],[Cedula agente]],Lista!$B$2:$B$97,Lista!$F$2:$F$97)," ")</f>
        <v>John Sebastian Roncancio Avendaño</v>
      </c>
      <c r="AT76" s="99">
        <v>0.95</v>
      </c>
      <c r="AU76" s="200">
        <f>+WEEKNUM('Score BD'!$H76)-WEEKNUM(DATE(YEAR('Score BD'!$H76),MONTH('Score BD'!$H76),1))+1</f>
        <v>2</v>
      </c>
    </row>
    <row r="77" spans="1:47" ht="17.45" customHeight="1" x14ac:dyDescent="0.3">
      <c r="A77" s="49" t="str">
        <f t="shared" si="11"/>
        <v>Ministerio de Educación Nacional</v>
      </c>
      <c r="B77" s="50">
        <f>+IFERROR(COUNTIF($J$3:J77,J77)," ")</f>
        <v>5</v>
      </c>
      <c r="C77" s="54" t="str">
        <f>+'Score BD'!$J77&amp;'Score BD'!$B77</f>
        <v>Natalia Cañón Betancourt5</v>
      </c>
      <c r="D77" s="91" t="s">
        <v>148</v>
      </c>
      <c r="E77" s="92" t="s">
        <v>164</v>
      </c>
      <c r="F77" s="92" t="s">
        <v>212</v>
      </c>
      <c r="G77" s="60" t="str">
        <f t="shared" si="12"/>
        <v>Noviembre</v>
      </c>
      <c r="H77" s="65">
        <v>45968</v>
      </c>
      <c r="I77" s="243">
        <v>45967</v>
      </c>
      <c r="J77" s="57" t="s">
        <v>181</v>
      </c>
      <c r="K77" s="54">
        <f>IFERROR(VLOOKUP('Score BD'!$J77,Lista!A:B,2,0)," ")</f>
        <v>1000383417</v>
      </c>
      <c r="L77" s="61" t="s">
        <v>320</v>
      </c>
      <c r="M77" s="59" t="s">
        <v>4</v>
      </c>
      <c r="N77" s="59" t="s">
        <v>4</v>
      </c>
      <c r="O77" s="59" t="s">
        <v>4</v>
      </c>
      <c r="P77" s="59" t="s">
        <v>4</v>
      </c>
      <c r="Q77" s="96">
        <f t="shared" si="13"/>
        <v>1</v>
      </c>
      <c r="R77" s="59" t="s">
        <v>4</v>
      </c>
      <c r="S77" s="59" t="s">
        <v>4</v>
      </c>
      <c r="T77" s="59" t="s">
        <v>4</v>
      </c>
      <c r="U77" s="59" t="s">
        <v>4</v>
      </c>
      <c r="V77" s="72">
        <f t="shared" si="14"/>
        <v>1</v>
      </c>
      <c r="W77" s="59" t="s">
        <v>4</v>
      </c>
      <c r="X77" s="59" t="s">
        <v>4</v>
      </c>
      <c r="Y77" s="59" t="s">
        <v>4</v>
      </c>
      <c r="Z77" s="59" t="s">
        <v>4</v>
      </c>
      <c r="AA77" s="59" t="s">
        <v>4</v>
      </c>
      <c r="AB77" s="59" t="s">
        <v>4</v>
      </c>
      <c r="AC77" s="72">
        <f t="shared" si="15"/>
        <v>1.000000000000002</v>
      </c>
      <c r="AD77" s="59" t="s">
        <v>4</v>
      </c>
      <c r="AE77" s="59" t="s">
        <v>4</v>
      </c>
      <c r="AF77" s="97">
        <f t="shared" si="16"/>
        <v>1</v>
      </c>
      <c r="AG77" s="44">
        <f t="shared" si="17"/>
        <v>1.0000000000000004</v>
      </c>
      <c r="AH77" s="55">
        <f t="shared" si="18"/>
        <v>0</v>
      </c>
      <c r="AI77" s="55">
        <f>COUNTIF('Score BD'!$M77:$P77,"no")</f>
        <v>0</v>
      </c>
      <c r="AJ77" s="55">
        <f t="shared" si="19"/>
        <v>0</v>
      </c>
      <c r="AK77" s="55">
        <f t="shared" si="20"/>
        <v>0</v>
      </c>
      <c r="AL77" s="55">
        <f t="shared" si="21"/>
        <v>0</v>
      </c>
      <c r="AM77" s="59" t="s">
        <v>356</v>
      </c>
      <c r="AN77" s="55"/>
      <c r="AO77" s="55"/>
      <c r="AP77" s="43"/>
      <c r="AQ77" s="59" t="str">
        <f>IFERROR(_xlfn.XLOOKUP(Tabla1[[#This Row],[Cedula agente]],Lista!$B$2:$B$97,Lista!$G$2:$G$97)," ")</f>
        <v>Luisa Fernanda Benavides Castrillon</v>
      </c>
      <c r="AR77" s="59" t="s">
        <v>162</v>
      </c>
      <c r="AS77" s="55" t="str">
        <f>IFERROR(_xlfn.XLOOKUP(Tabla1[[#This Row],[Cedula agente]],Lista!$B$2:$B$97,Lista!$F$2:$F$97)," ")</f>
        <v>John Sebastian Roncancio Avendaño</v>
      </c>
      <c r="AT77" s="99">
        <v>0.95</v>
      </c>
      <c r="AU77" s="200">
        <f>+WEEKNUM('Score BD'!$H77)-WEEKNUM(DATE(YEAR('Score BD'!$H77),MONTH('Score BD'!$H77),1))+1</f>
        <v>2</v>
      </c>
    </row>
    <row r="78" spans="1:47" ht="17.45" customHeight="1" x14ac:dyDescent="0.3">
      <c r="A78" s="49" t="str">
        <f t="shared" si="11"/>
        <v>Ministerio de Educación Nacional</v>
      </c>
      <c r="B78" s="50">
        <f>+IFERROR(COUNTIF($J$3:J78,J78)," ")</f>
        <v>6</v>
      </c>
      <c r="C78" s="54" t="str">
        <f>+'Score BD'!$J78&amp;'Score BD'!$B78</f>
        <v>Natalia Cañón Betancourt6</v>
      </c>
      <c r="D78" s="91" t="s">
        <v>148</v>
      </c>
      <c r="E78" s="92" t="s">
        <v>164</v>
      </c>
      <c r="F78" s="92" t="s">
        <v>212</v>
      </c>
      <c r="G78" s="60" t="str">
        <f t="shared" si="12"/>
        <v>Noviembre</v>
      </c>
      <c r="H78" s="65">
        <v>45968</v>
      </c>
      <c r="I78" s="243">
        <v>45967</v>
      </c>
      <c r="J78" s="57" t="s">
        <v>181</v>
      </c>
      <c r="K78" s="54">
        <f>IFERROR(VLOOKUP('Score BD'!$J78,Lista!A:B,2,0)," ")</f>
        <v>1000383417</v>
      </c>
      <c r="L78" s="61" t="s">
        <v>321</v>
      </c>
      <c r="M78" s="59" t="s">
        <v>4</v>
      </c>
      <c r="N78" s="59" t="s">
        <v>4</v>
      </c>
      <c r="O78" s="59" t="s">
        <v>4</v>
      </c>
      <c r="P78" s="59" t="s">
        <v>4</v>
      </c>
      <c r="Q78" s="96">
        <f t="shared" si="13"/>
        <v>1</v>
      </c>
      <c r="R78" s="59" t="s">
        <v>4</v>
      </c>
      <c r="S78" s="59" t="s">
        <v>4</v>
      </c>
      <c r="T78" s="59" t="s">
        <v>4</v>
      </c>
      <c r="U78" s="59" t="s">
        <v>4</v>
      </c>
      <c r="V78" s="72">
        <f t="shared" si="14"/>
        <v>1</v>
      </c>
      <c r="W78" s="59" t="s">
        <v>4</v>
      </c>
      <c r="X78" s="59" t="s">
        <v>4</v>
      </c>
      <c r="Y78" s="59" t="s">
        <v>4</v>
      </c>
      <c r="Z78" s="59" t="s">
        <v>4</v>
      </c>
      <c r="AA78" s="59" t="s">
        <v>4</v>
      </c>
      <c r="AB78" s="59" t="s">
        <v>4</v>
      </c>
      <c r="AC78" s="72">
        <f t="shared" si="15"/>
        <v>1.000000000000002</v>
      </c>
      <c r="AD78" s="59" t="s">
        <v>4</v>
      </c>
      <c r="AE78" s="59" t="s">
        <v>4</v>
      </c>
      <c r="AF78" s="97">
        <f t="shared" si="16"/>
        <v>1</v>
      </c>
      <c r="AG78" s="44">
        <f t="shared" si="17"/>
        <v>1.0000000000000004</v>
      </c>
      <c r="AH78" s="55">
        <f t="shared" si="18"/>
        <v>0</v>
      </c>
      <c r="AI78" s="55">
        <f>COUNTIF('Score BD'!$M78:$P78,"no")</f>
        <v>0</v>
      </c>
      <c r="AJ78" s="55">
        <f t="shared" si="19"/>
        <v>0</v>
      </c>
      <c r="AK78" s="55">
        <f t="shared" si="20"/>
        <v>0</v>
      </c>
      <c r="AL78" s="55">
        <f t="shared" si="21"/>
        <v>0</v>
      </c>
      <c r="AM78" s="59" t="s">
        <v>356</v>
      </c>
      <c r="AN78" s="55"/>
      <c r="AO78" s="55"/>
      <c r="AP78" s="43"/>
      <c r="AQ78" s="59" t="str">
        <f>IFERROR(_xlfn.XLOOKUP(Tabla1[[#This Row],[Cedula agente]],Lista!$B$2:$B$97,Lista!$G$2:$G$97)," ")</f>
        <v>Luisa Fernanda Benavides Castrillon</v>
      </c>
      <c r="AR78" s="59" t="s">
        <v>162</v>
      </c>
      <c r="AS78" s="55" t="str">
        <f>IFERROR(_xlfn.XLOOKUP(Tabla1[[#This Row],[Cedula agente]],Lista!$B$2:$B$97,Lista!$F$2:$F$97)," ")</f>
        <v>John Sebastian Roncancio Avendaño</v>
      </c>
      <c r="AT78" s="99">
        <v>0.95</v>
      </c>
      <c r="AU78" s="200">
        <f>+WEEKNUM('Score BD'!$H78)-WEEKNUM(DATE(YEAR('Score BD'!$H78),MONTH('Score BD'!$H78),1))+1</f>
        <v>2</v>
      </c>
    </row>
    <row r="79" spans="1:47" ht="17.45" customHeight="1" x14ac:dyDescent="0.3">
      <c r="A79" s="49" t="str">
        <f t="shared" si="11"/>
        <v>Ministerio de Educación Nacional</v>
      </c>
      <c r="B79" s="50">
        <f>+IFERROR(COUNTIF($J$3:J79,J79)," ")</f>
        <v>3</v>
      </c>
      <c r="C79" s="54" t="str">
        <f>+'Score BD'!$J79&amp;'Score BD'!$B79</f>
        <v>Quira Alejandra Herrera Camelo3</v>
      </c>
      <c r="D79" s="91" t="s">
        <v>148</v>
      </c>
      <c r="E79" s="92" t="s">
        <v>208</v>
      </c>
      <c r="F79" s="92" t="s">
        <v>212</v>
      </c>
      <c r="G79" s="60" t="str">
        <f t="shared" si="12"/>
        <v>Noviembre</v>
      </c>
      <c r="H79" s="65">
        <v>45968</v>
      </c>
      <c r="I79" s="243">
        <v>45967</v>
      </c>
      <c r="J79" s="57" t="s">
        <v>182</v>
      </c>
      <c r="K79" s="54">
        <f>IFERROR(VLOOKUP('Score BD'!$J79,Lista!A:B,2,0)," ")</f>
        <v>1010214168</v>
      </c>
      <c r="L79" s="61" t="s">
        <v>322</v>
      </c>
      <c r="M79" s="59" t="s">
        <v>4</v>
      </c>
      <c r="N79" s="59" t="s">
        <v>4</v>
      </c>
      <c r="O79" s="59" t="s">
        <v>4</v>
      </c>
      <c r="P79" s="59" t="s">
        <v>4</v>
      </c>
      <c r="Q79" s="96">
        <f t="shared" si="13"/>
        <v>1</v>
      </c>
      <c r="R79" s="59" t="s">
        <v>4</v>
      </c>
      <c r="S79" s="59" t="s">
        <v>4</v>
      </c>
      <c r="T79" s="59" t="s">
        <v>4</v>
      </c>
      <c r="U79" s="59" t="s">
        <v>4</v>
      </c>
      <c r="V79" s="72">
        <f t="shared" si="14"/>
        <v>1</v>
      </c>
      <c r="W79" s="59" t="s">
        <v>4</v>
      </c>
      <c r="X79" s="59" t="s">
        <v>4</v>
      </c>
      <c r="Y79" s="59" t="s">
        <v>4</v>
      </c>
      <c r="Z79" s="59" t="s">
        <v>4</v>
      </c>
      <c r="AA79" s="59" t="s">
        <v>4</v>
      </c>
      <c r="AB79" s="59" t="s">
        <v>4</v>
      </c>
      <c r="AC79" s="72">
        <f t="shared" si="15"/>
        <v>1.000000000000002</v>
      </c>
      <c r="AD79" s="59" t="s">
        <v>4</v>
      </c>
      <c r="AE79" s="59" t="s">
        <v>4</v>
      </c>
      <c r="AF79" s="97">
        <f t="shared" si="16"/>
        <v>1</v>
      </c>
      <c r="AG79" s="44">
        <f t="shared" si="17"/>
        <v>1.0000000000000004</v>
      </c>
      <c r="AH79" s="55">
        <f t="shared" si="18"/>
        <v>0</v>
      </c>
      <c r="AI79" s="55">
        <f>COUNTIF('Score BD'!$M79:$P79,"no")</f>
        <v>0</v>
      </c>
      <c r="AJ79" s="55">
        <f t="shared" si="19"/>
        <v>0</v>
      </c>
      <c r="AK79" s="55">
        <f t="shared" si="20"/>
        <v>0</v>
      </c>
      <c r="AL79" s="55">
        <f t="shared" si="21"/>
        <v>0</v>
      </c>
      <c r="AM79" s="59" t="s">
        <v>356</v>
      </c>
      <c r="AN79" s="55"/>
      <c r="AO79" s="55"/>
      <c r="AP79" s="43"/>
      <c r="AQ79" s="59" t="str">
        <f>IFERROR(_xlfn.XLOOKUP(Tabla1[[#This Row],[Cedula agente]],Lista!$B$2:$B$97,Lista!$G$2:$G$97)," ")</f>
        <v>Luisa Fernanda Benavides Castrillon</v>
      </c>
      <c r="AR79" s="59" t="s">
        <v>162</v>
      </c>
      <c r="AS79" s="55" t="str">
        <f>IFERROR(_xlfn.XLOOKUP(Tabla1[[#This Row],[Cedula agente]],Lista!$B$2:$B$97,Lista!$F$2:$F$97)," ")</f>
        <v>John Sebastian Roncancio Avendaño</v>
      </c>
      <c r="AT79" s="99">
        <v>0.95</v>
      </c>
      <c r="AU79" s="200">
        <f>+WEEKNUM('Score BD'!$H79)-WEEKNUM(DATE(YEAR('Score BD'!$H79),MONTH('Score BD'!$H79),1))+1</f>
        <v>2</v>
      </c>
    </row>
    <row r="80" spans="1:47" ht="17.45" customHeight="1" x14ac:dyDescent="0.3">
      <c r="A80" s="49" t="str">
        <f t="shared" si="11"/>
        <v>Ministerio de Educación Nacional</v>
      </c>
      <c r="B80" s="50">
        <f>+IFERROR(COUNTIF($J$3:J80,J80)," ")</f>
        <v>3</v>
      </c>
      <c r="C80" s="54" t="str">
        <f>+'Score BD'!$J80&amp;'Score BD'!$B80</f>
        <v>Valentina Castillo Rondón3</v>
      </c>
      <c r="D80" s="91" t="s">
        <v>148</v>
      </c>
      <c r="E80" s="92" t="s">
        <v>165</v>
      </c>
      <c r="F80" s="92" t="s">
        <v>212</v>
      </c>
      <c r="G80" s="60" t="str">
        <f t="shared" si="12"/>
        <v>Noviembre</v>
      </c>
      <c r="H80" s="65">
        <v>45968</v>
      </c>
      <c r="I80" s="243">
        <v>45967</v>
      </c>
      <c r="J80" s="57" t="s">
        <v>183</v>
      </c>
      <c r="K80" s="54">
        <f>IFERROR(VLOOKUP('Score BD'!$J80,Lista!A:B,2,0)," ")</f>
        <v>1121950095</v>
      </c>
      <c r="L80" s="61" t="s">
        <v>323</v>
      </c>
      <c r="M80" s="59" t="s">
        <v>4</v>
      </c>
      <c r="N80" s="59" t="s">
        <v>4</v>
      </c>
      <c r="O80" s="59" t="s">
        <v>4</v>
      </c>
      <c r="P80" s="59" t="s">
        <v>4</v>
      </c>
      <c r="Q80" s="96">
        <f t="shared" si="13"/>
        <v>1</v>
      </c>
      <c r="R80" s="59" t="s">
        <v>4</v>
      </c>
      <c r="S80" s="59" t="s">
        <v>4</v>
      </c>
      <c r="T80" s="59" t="s">
        <v>4</v>
      </c>
      <c r="U80" s="59" t="s">
        <v>4</v>
      </c>
      <c r="V80" s="72">
        <f t="shared" si="14"/>
        <v>1</v>
      </c>
      <c r="W80" s="59" t="s">
        <v>4</v>
      </c>
      <c r="X80" s="59" t="s">
        <v>4</v>
      </c>
      <c r="Y80" s="59" t="s">
        <v>4</v>
      </c>
      <c r="Z80" s="59" t="s">
        <v>4</v>
      </c>
      <c r="AA80" s="59" t="s">
        <v>4</v>
      </c>
      <c r="AB80" s="59" t="s">
        <v>4</v>
      </c>
      <c r="AC80" s="72">
        <f t="shared" si="15"/>
        <v>1.000000000000002</v>
      </c>
      <c r="AD80" s="59" t="s">
        <v>4</v>
      </c>
      <c r="AE80" s="59" t="s">
        <v>4</v>
      </c>
      <c r="AF80" s="97">
        <f t="shared" si="16"/>
        <v>1</v>
      </c>
      <c r="AG80" s="44">
        <f t="shared" si="17"/>
        <v>1.0000000000000004</v>
      </c>
      <c r="AH80" s="55">
        <f t="shared" si="18"/>
        <v>0</v>
      </c>
      <c r="AI80" s="55">
        <f>COUNTIF('Score BD'!$M80:$P80,"no")</f>
        <v>0</v>
      </c>
      <c r="AJ80" s="55">
        <f t="shared" si="19"/>
        <v>0</v>
      </c>
      <c r="AK80" s="55">
        <f t="shared" si="20"/>
        <v>0</v>
      </c>
      <c r="AL80" s="55">
        <f t="shared" si="21"/>
        <v>0</v>
      </c>
      <c r="AM80" s="59" t="s">
        <v>356</v>
      </c>
      <c r="AN80" s="55"/>
      <c r="AO80" s="55"/>
      <c r="AP80" s="43"/>
      <c r="AQ80" s="59" t="str">
        <f>IFERROR(_xlfn.XLOOKUP(Tabla1[[#This Row],[Cedula agente]],Lista!$B$2:$B$97,Lista!$G$2:$G$97)," ")</f>
        <v>Luisa Fernanda Benavides Castrillon</v>
      </c>
      <c r="AR80" s="59" t="s">
        <v>162</v>
      </c>
      <c r="AS80" s="55" t="str">
        <f>IFERROR(_xlfn.XLOOKUP(Tabla1[[#This Row],[Cedula agente]],Lista!$B$2:$B$97,Lista!$F$2:$F$97)," ")</f>
        <v>John Sebastian Roncancio Avendaño</v>
      </c>
      <c r="AT80" s="99">
        <v>0.95</v>
      </c>
      <c r="AU80" s="200">
        <f>+WEEKNUM('Score BD'!$H80)-WEEKNUM(DATE(YEAR('Score BD'!$H80),MONTH('Score BD'!$H80),1))+1</f>
        <v>2</v>
      </c>
    </row>
    <row r="81" spans="1:47" ht="17.45" customHeight="1" x14ac:dyDescent="0.3">
      <c r="A81" s="49" t="str">
        <f t="shared" si="11"/>
        <v>Ministerio de Educación Nacional</v>
      </c>
      <c r="B81" s="50">
        <f>+IFERROR(COUNTIF($J$3:J81,J81)," ")</f>
        <v>4</v>
      </c>
      <c r="C81" s="54" t="str">
        <f>+'Score BD'!$J81&amp;'Score BD'!$B81</f>
        <v>Yenny Maribel Duran Ovejero4</v>
      </c>
      <c r="D81" s="91" t="s">
        <v>148</v>
      </c>
      <c r="E81" s="92" t="s">
        <v>165</v>
      </c>
      <c r="F81" s="92" t="s">
        <v>212</v>
      </c>
      <c r="G81" s="60" t="str">
        <f t="shared" si="12"/>
        <v>Noviembre</v>
      </c>
      <c r="H81" s="65">
        <v>45968</v>
      </c>
      <c r="I81" s="243">
        <v>45967</v>
      </c>
      <c r="J81" s="57" t="s">
        <v>206</v>
      </c>
      <c r="K81" s="54">
        <f>IFERROR(VLOOKUP('Score BD'!$J81,Lista!A:B,2,0)," ")</f>
        <v>52962387</v>
      </c>
      <c r="L81" s="61" t="s">
        <v>324</v>
      </c>
      <c r="M81" s="59" t="s">
        <v>4</v>
      </c>
      <c r="N81" s="59" t="s">
        <v>4</v>
      </c>
      <c r="O81" s="59" t="s">
        <v>4</v>
      </c>
      <c r="P81" s="59" t="s">
        <v>4</v>
      </c>
      <c r="Q81" s="96">
        <f t="shared" si="13"/>
        <v>1</v>
      </c>
      <c r="R81" s="59" t="s">
        <v>4</v>
      </c>
      <c r="S81" s="59" t="s">
        <v>4</v>
      </c>
      <c r="T81" s="59" t="s">
        <v>4</v>
      </c>
      <c r="U81" s="59" t="s">
        <v>4</v>
      </c>
      <c r="V81" s="72">
        <f t="shared" si="14"/>
        <v>1</v>
      </c>
      <c r="W81" s="59" t="s">
        <v>4</v>
      </c>
      <c r="X81" s="59" t="s">
        <v>4</v>
      </c>
      <c r="Y81" s="59" t="s">
        <v>4</v>
      </c>
      <c r="Z81" s="59" t="s">
        <v>4</v>
      </c>
      <c r="AA81" s="59" t="s">
        <v>4</v>
      </c>
      <c r="AB81" s="59" t="s">
        <v>4</v>
      </c>
      <c r="AC81" s="72">
        <f t="shared" si="15"/>
        <v>1.000000000000002</v>
      </c>
      <c r="AD81" s="59" t="s">
        <v>4</v>
      </c>
      <c r="AE81" s="59" t="s">
        <v>4</v>
      </c>
      <c r="AF81" s="97">
        <f t="shared" si="16"/>
        <v>1</v>
      </c>
      <c r="AG81" s="44">
        <f t="shared" si="17"/>
        <v>1.0000000000000004</v>
      </c>
      <c r="AH81" s="55">
        <f t="shared" si="18"/>
        <v>0</v>
      </c>
      <c r="AI81" s="55">
        <f>COUNTIF('Score BD'!$M81:$P81,"no")</f>
        <v>0</v>
      </c>
      <c r="AJ81" s="55">
        <f t="shared" si="19"/>
        <v>0</v>
      </c>
      <c r="AK81" s="55">
        <f t="shared" si="20"/>
        <v>0</v>
      </c>
      <c r="AL81" s="55">
        <f t="shared" si="21"/>
        <v>0</v>
      </c>
      <c r="AM81" s="59" t="s">
        <v>356</v>
      </c>
      <c r="AN81" s="55"/>
      <c r="AO81" s="55"/>
      <c r="AP81" s="43"/>
      <c r="AQ81" s="59" t="str">
        <f>IFERROR(_xlfn.XLOOKUP(Tabla1[[#This Row],[Cedula agente]],Lista!$B$2:$B$97,Lista!$G$2:$G$97)," ")</f>
        <v>Luisa Fernanda Benavides Castrillon</v>
      </c>
      <c r="AR81" s="59" t="s">
        <v>162</v>
      </c>
      <c r="AS81" s="55" t="str">
        <f>IFERROR(_xlfn.XLOOKUP(Tabla1[[#This Row],[Cedula agente]],Lista!$B$2:$B$97,Lista!$F$2:$F$97)," ")</f>
        <v>John Sebastian Roncancio Avendaño</v>
      </c>
      <c r="AT81" s="99">
        <v>0.95</v>
      </c>
      <c r="AU81" s="200">
        <f>+WEEKNUM('Score BD'!$H81)-WEEKNUM(DATE(YEAR('Score BD'!$H81),MONTH('Score BD'!$H81),1))+1</f>
        <v>2</v>
      </c>
    </row>
    <row r="82" spans="1:47" ht="17.45" customHeight="1" x14ac:dyDescent="0.3">
      <c r="A82" s="49" t="str">
        <f t="shared" si="11"/>
        <v>Ministerio de Educación Nacional</v>
      </c>
      <c r="B82" s="50">
        <f>+IFERROR(COUNTIF($J$3:J82,J82)," ")</f>
        <v>8</v>
      </c>
      <c r="C82" s="54" t="str">
        <f>+'Score BD'!$J82&amp;'Score BD'!$B82</f>
        <v>Ana Graciela Barbosa Villalobos8</v>
      </c>
      <c r="D82" s="91" t="s">
        <v>148</v>
      </c>
      <c r="E82" s="92" t="s">
        <v>210</v>
      </c>
      <c r="F82" s="92" t="s">
        <v>212</v>
      </c>
      <c r="G82" s="60" t="str">
        <f t="shared" si="12"/>
        <v>Noviembre</v>
      </c>
      <c r="H82" s="65">
        <v>45971</v>
      </c>
      <c r="I82" s="243">
        <v>45968</v>
      </c>
      <c r="J82" s="57" t="s">
        <v>171</v>
      </c>
      <c r="K82" s="54">
        <f>IFERROR(VLOOKUP('Score BD'!$J82,Lista!A:B,2,0)," ")</f>
        <v>1026264261</v>
      </c>
      <c r="L82" s="61" t="s">
        <v>325</v>
      </c>
      <c r="M82" s="59" t="s">
        <v>4</v>
      </c>
      <c r="N82" s="59" t="s">
        <v>4</v>
      </c>
      <c r="O82" s="59" t="s">
        <v>4</v>
      </c>
      <c r="P82" s="59" t="s">
        <v>4</v>
      </c>
      <c r="Q82" s="96">
        <f t="shared" si="13"/>
        <v>1</v>
      </c>
      <c r="R82" s="59" t="s">
        <v>4</v>
      </c>
      <c r="S82" s="59" t="s">
        <v>4</v>
      </c>
      <c r="T82" s="59" t="s">
        <v>4</v>
      </c>
      <c r="U82" s="59" t="s">
        <v>4</v>
      </c>
      <c r="V82" s="72">
        <f t="shared" si="14"/>
        <v>1</v>
      </c>
      <c r="W82" s="59" t="s">
        <v>4</v>
      </c>
      <c r="X82" s="59" t="s">
        <v>4</v>
      </c>
      <c r="Y82" s="59" t="s">
        <v>4</v>
      </c>
      <c r="Z82" s="59" t="s">
        <v>4</v>
      </c>
      <c r="AA82" s="59" t="s">
        <v>4</v>
      </c>
      <c r="AB82" s="59" t="s">
        <v>4</v>
      </c>
      <c r="AC82" s="72">
        <f t="shared" si="15"/>
        <v>1.000000000000002</v>
      </c>
      <c r="AD82" s="59" t="s">
        <v>4</v>
      </c>
      <c r="AE82" s="59" t="s">
        <v>4</v>
      </c>
      <c r="AF82" s="97">
        <f t="shared" si="16"/>
        <v>1</v>
      </c>
      <c r="AG82" s="44">
        <f t="shared" si="17"/>
        <v>1.0000000000000004</v>
      </c>
      <c r="AH82" s="55">
        <f t="shared" si="18"/>
        <v>0</v>
      </c>
      <c r="AI82" s="55">
        <f>COUNTIF('Score BD'!$M82:$P82,"no")</f>
        <v>0</v>
      </c>
      <c r="AJ82" s="55">
        <f t="shared" si="19"/>
        <v>0</v>
      </c>
      <c r="AK82" s="55">
        <f t="shared" si="20"/>
        <v>0</v>
      </c>
      <c r="AL82" s="55">
        <f t="shared" si="21"/>
        <v>0</v>
      </c>
      <c r="AM82" s="59" t="s">
        <v>357</v>
      </c>
      <c r="AN82" s="59"/>
      <c r="AO82" s="102"/>
      <c r="AP82" s="102"/>
      <c r="AQ82" s="59" t="str">
        <f>IFERROR(_xlfn.XLOOKUP(Tabla1[[#This Row],[Cedula agente]],Lista!$B$2:$B$97,Lista!$G$2:$G$97)," ")</f>
        <v>Luisa Fernanda Benavides Castrillon</v>
      </c>
      <c r="AR82" s="59" t="s">
        <v>162</v>
      </c>
      <c r="AS82" s="55" t="str">
        <f>IFERROR(_xlfn.XLOOKUP(Tabla1[[#This Row],[Cedula agente]],Lista!$B$2:$B$97,Lista!$F$2:$F$97)," ")</f>
        <v>John Sebastian Roncancio Avendaño</v>
      </c>
      <c r="AT82" s="99">
        <v>0.95</v>
      </c>
      <c r="AU82" s="200">
        <f>+WEEKNUM('Score BD'!$H82)-WEEKNUM(DATE(YEAR('Score BD'!$H82),MONTH('Score BD'!$H82),1))+1</f>
        <v>3</v>
      </c>
    </row>
    <row r="83" spans="1:47" ht="17.45" customHeight="1" x14ac:dyDescent="0.3">
      <c r="A83" s="49" t="str">
        <f t="shared" si="11"/>
        <v>Ministerio de Educación Nacional</v>
      </c>
      <c r="B83" s="50">
        <f>+IFERROR(COUNTIF($J$3:J83,J83)," ")</f>
        <v>9</v>
      </c>
      <c r="C83" s="54" t="str">
        <f>+'Score BD'!$J83&amp;'Score BD'!$B83</f>
        <v>Ana Graciela Barbosa Villalobos9</v>
      </c>
      <c r="D83" s="91" t="s">
        <v>148</v>
      </c>
      <c r="E83" s="92" t="s">
        <v>210</v>
      </c>
      <c r="F83" s="92" t="s">
        <v>212</v>
      </c>
      <c r="G83" s="60" t="str">
        <f t="shared" si="12"/>
        <v>Noviembre</v>
      </c>
      <c r="H83" s="65">
        <v>45971</v>
      </c>
      <c r="I83" s="243">
        <v>45968</v>
      </c>
      <c r="J83" s="57" t="s">
        <v>171</v>
      </c>
      <c r="K83" s="54">
        <f>IFERROR(VLOOKUP('Score BD'!$J83,Lista!A:B,2,0)," ")</f>
        <v>1026264261</v>
      </c>
      <c r="L83" s="61" t="s">
        <v>326</v>
      </c>
      <c r="M83" s="59" t="s">
        <v>4</v>
      </c>
      <c r="N83" s="59" t="s">
        <v>4</v>
      </c>
      <c r="O83" s="59" t="s">
        <v>4</v>
      </c>
      <c r="P83" s="59" t="s">
        <v>4</v>
      </c>
      <c r="Q83" s="96">
        <f t="shared" si="13"/>
        <v>1</v>
      </c>
      <c r="R83" s="59" t="s">
        <v>4</v>
      </c>
      <c r="S83" s="59" t="s">
        <v>4</v>
      </c>
      <c r="T83" s="59" t="s">
        <v>4</v>
      </c>
      <c r="U83" s="59" t="s">
        <v>4</v>
      </c>
      <c r="V83" s="72">
        <f t="shared" si="14"/>
        <v>1</v>
      </c>
      <c r="W83" s="59" t="s">
        <v>4</v>
      </c>
      <c r="X83" s="59" t="s">
        <v>4</v>
      </c>
      <c r="Y83" s="59" t="s">
        <v>4</v>
      </c>
      <c r="Z83" s="59" t="s">
        <v>4</v>
      </c>
      <c r="AA83" s="59" t="s">
        <v>4</v>
      </c>
      <c r="AB83" s="59" t="s">
        <v>4</v>
      </c>
      <c r="AC83" s="72">
        <f t="shared" si="15"/>
        <v>1.000000000000002</v>
      </c>
      <c r="AD83" s="59" t="s">
        <v>4</v>
      </c>
      <c r="AE83" s="59" t="s">
        <v>4</v>
      </c>
      <c r="AF83" s="97">
        <f t="shared" si="16"/>
        <v>1</v>
      </c>
      <c r="AG83" s="44">
        <f t="shared" si="17"/>
        <v>1.0000000000000004</v>
      </c>
      <c r="AH83" s="55">
        <f t="shared" si="18"/>
        <v>0</v>
      </c>
      <c r="AI83" s="55">
        <f>COUNTIF('Score BD'!$M83:$P83,"no")</f>
        <v>0</v>
      </c>
      <c r="AJ83" s="55">
        <f t="shared" si="19"/>
        <v>0</v>
      </c>
      <c r="AK83" s="55">
        <f t="shared" si="20"/>
        <v>0</v>
      </c>
      <c r="AL83" s="55">
        <f t="shared" si="21"/>
        <v>0</v>
      </c>
      <c r="AM83" s="59" t="s">
        <v>357</v>
      </c>
      <c r="AN83" s="55"/>
      <c r="AO83" s="102"/>
      <c r="AP83" s="43"/>
      <c r="AQ83" s="59" t="str">
        <f>IFERROR(_xlfn.XLOOKUP(Tabla1[[#This Row],[Cedula agente]],Lista!$B$2:$B$97,Lista!$G$2:$G$97)," ")</f>
        <v>Luisa Fernanda Benavides Castrillon</v>
      </c>
      <c r="AR83" s="59" t="s">
        <v>162</v>
      </c>
      <c r="AS83" s="55" t="str">
        <f>IFERROR(_xlfn.XLOOKUP(Tabla1[[#This Row],[Cedula agente]],Lista!$B$2:$B$97,Lista!$F$2:$F$97)," ")</f>
        <v>John Sebastian Roncancio Avendaño</v>
      </c>
      <c r="AT83" s="99">
        <v>0.95</v>
      </c>
      <c r="AU83" s="200">
        <f>+WEEKNUM('Score BD'!$H83)-WEEKNUM(DATE(YEAR('Score BD'!$H83),MONTH('Score BD'!$H83),1))+1</f>
        <v>3</v>
      </c>
    </row>
    <row r="84" spans="1:47" ht="17.45" customHeight="1" x14ac:dyDescent="0.3">
      <c r="A84" s="49" t="str">
        <f t="shared" si="11"/>
        <v>Ministerio de Educación Nacional</v>
      </c>
      <c r="B84" s="50">
        <f>+IFERROR(COUNTIF($J$3:J84,J84)," ")</f>
        <v>10</v>
      </c>
      <c r="C84" s="54" t="str">
        <f>+'Score BD'!$J84&amp;'Score BD'!$B84</f>
        <v>Ana Graciela Barbosa Villalobos10</v>
      </c>
      <c r="D84" s="91" t="s">
        <v>148</v>
      </c>
      <c r="E84" s="92" t="s">
        <v>210</v>
      </c>
      <c r="F84" s="92" t="s">
        <v>212</v>
      </c>
      <c r="G84" s="60" t="str">
        <f t="shared" si="12"/>
        <v>Noviembre</v>
      </c>
      <c r="H84" s="65">
        <v>45971</v>
      </c>
      <c r="I84" s="243">
        <v>45968</v>
      </c>
      <c r="J84" s="57" t="s">
        <v>171</v>
      </c>
      <c r="K84" s="54">
        <f>IFERROR(VLOOKUP('Score BD'!$J84,Lista!A:B,2,0)," ")</f>
        <v>1026264261</v>
      </c>
      <c r="L84" s="61" t="s">
        <v>327</v>
      </c>
      <c r="M84" s="59" t="s">
        <v>4</v>
      </c>
      <c r="N84" s="59" t="s">
        <v>4</v>
      </c>
      <c r="O84" s="59" t="s">
        <v>4</v>
      </c>
      <c r="P84" s="59" t="s">
        <v>4</v>
      </c>
      <c r="Q84" s="96">
        <f t="shared" si="13"/>
        <v>1</v>
      </c>
      <c r="R84" s="59" t="s">
        <v>4</v>
      </c>
      <c r="S84" s="59" t="s">
        <v>4</v>
      </c>
      <c r="T84" s="59" t="s">
        <v>4</v>
      </c>
      <c r="U84" s="59" t="s">
        <v>4</v>
      </c>
      <c r="V84" s="72">
        <f t="shared" si="14"/>
        <v>1</v>
      </c>
      <c r="W84" s="59" t="s">
        <v>4</v>
      </c>
      <c r="X84" s="59" t="s">
        <v>4</v>
      </c>
      <c r="Y84" s="59" t="s">
        <v>4</v>
      </c>
      <c r="Z84" s="59" t="s">
        <v>4</v>
      </c>
      <c r="AA84" s="59" t="s">
        <v>4</v>
      </c>
      <c r="AB84" s="59" t="s">
        <v>4</v>
      </c>
      <c r="AC84" s="72">
        <f t="shared" si="15"/>
        <v>1.000000000000002</v>
      </c>
      <c r="AD84" s="59" t="s">
        <v>4</v>
      </c>
      <c r="AE84" s="59" t="s">
        <v>4</v>
      </c>
      <c r="AF84" s="97">
        <f t="shared" si="16"/>
        <v>1</v>
      </c>
      <c r="AG84" s="44">
        <f t="shared" si="17"/>
        <v>1.0000000000000004</v>
      </c>
      <c r="AH84" s="55">
        <f t="shared" si="18"/>
        <v>0</v>
      </c>
      <c r="AI84" s="55">
        <f>COUNTIF('Score BD'!$M84:$P84,"no")</f>
        <v>0</v>
      </c>
      <c r="AJ84" s="55">
        <f t="shared" si="19"/>
        <v>0</v>
      </c>
      <c r="AK84" s="55">
        <f t="shared" si="20"/>
        <v>0</v>
      </c>
      <c r="AL84" s="55">
        <f t="shared" si="21"/>
        <v>0</v>
      </c>
      <c r="AM84" s="59" t="s">
        <v>357</v>
      </c>
      <c r="AN84" s="55"/>
      <c r="AO84" s="102"/>
      <c r="AP84" s="43"/>
      <c r="AQ84" s="59" t="str">
        <f>IFERROR(_xlfn.XLOOKUP(Tabla1[[#This Row],[Cedula agente]],Lista!$B$2:$B$97,Lista!$G$2:$G$97)," ")</f>
        <v>Luisa Fernanda Benavides Castrillon</v>
      </c>
      <c r="AR84" s="59" t="s">
        <v>162</v>
      </c>
      <c r="AS84" s="55" t="str">
        <f>IFERROR(_xlfn.XLOOKUP(Tabla1[[#This Row],[Cedula agente]],Lista!$B$2:$B$97,Lista!$F$2:$F$97)," ")</f>
        <v>John Sebastian Roncancio Avendaño</v>
      </c>
      <c r="AT84" s="99">
        <v>0.95</v>
      </c>
      <c r="AU84" s="200">
        <f>+WEEKNUM('Score BD'!$H84)-WEEKNUM(DATE(YEAR('Score BD'!$H84),MONTH('Score BD'!$H84),1))+1</f>
        <v>3</v>
      </c>
    </row>
    <row r="85" spans="1:47" ht="17.45" customHeight="1" x14ac:dyDescent="0.3">
      <c r="A85" s="49" t="str">
        <f t="shared" si="11"/>
        <v>Ministerio de Educación Nacional</v>
      </c>
      <c r="B85" s="50">
        <f>+IFERROR(COUNTIF($J$3:J85,J85)," ")</f>
        <v>11</v>
      </c>
      <c r="C85" s="54" t="str">
        <f>+'Score BD'!$J85&amp;'Score BD'!$B85</f>
        <v>Ana Graciela Barbosa Villalobos11</v>
      </c>
      <c r="D85" s="91" t="s">
        <v>148</v>
      </c>
      <c r="E85" s="92" t="s">
        <v>210</v>
      </c>
      <c r="F85" s="92" t="s">
        <v>212</v>
      </c>
      <c r="G85" s="60" t="str">
        <f t="shared" si="12"/>
        <v>Noviembre</v>
      </c>
      <c r="H85" s="65">
        <v>45971</v>
      </c>
      <c r="I85" s="243">
        <v>45968</v>
      </c>
      <c r="J85" s="57" t="s">
        <v>171</v>
      </c>
      <c r="K85" s="54">
        <f>IFERROR(VLOOKUP('Score BD'!$J85,Lista!A:B,2,0)," ")</f>
        <v>1026264261</v>
      </c>
      <c r="L85" s="61" t="s">
        <v>328</v>
      </c>
      <c r="M85" s="59" t="s">
        <v>4</v>
      </c>
      <c r="N85" s="59" t="s">
        <v>4</v>
      </c>
      <c r="O85" s="59" t="s">
        <v>4</v>
      </c>
      <c r="P85" s="59" t="s">
        <v>4</v>
      </c>
      <c r="Q85" s="96">
        <f t="shared" si="13"/>
        <v>1</v>
      </c>
      <c r="R85" s="59" t="s">
        <v>4</v>
      </c>
      <c r="S85" s="59" t="s">
        <v>4</v>
      </c>
      <c r="T85" s="59" t="s">
        <v>4</v>
      </c>
      <c r="U85" s="59" t="s">
        <v>4</v>
      </c>
      <c r="V85" s="72">
        <f t="shared" si="14"/>
        <v>1</v>
      </c>
      <c r="W85" s="59" t="s">
        <v>4</v>
      </c>
      <c r="X85" s="59" t="s">
        <v>4</v>
      </c>
      <c r="Y85" s="59" t="s">
        <v>4</v>
      </c>
      <c r="Z85" s="59" t="s">
        <v>4</v>
      </c>
      <c r="AA85" s="59" t="s">
        <v>4</v>
      </c>
      <c r="AB85" s="59" t="s">
        <v>4</v>
      </c>
      <c r="AC85" s="72">
        <f t="shared" si="15"/>
        <v>1.000000000000002</v>
      </c>
      <c r="AD85" s="59" t="s">
        <v>4</v>
      </c>
      <c r="AE85" s="59" t="s">
        <v>4</v>
      </c>
      <c r="AF85" s="97">
        <f t="shared" si="16"/>
        <v>1</v>
      </c>
      <c r="AG85" s="44">
        <f t="shared" si="17"/>
        <v>1.0000000000000004</v>
      </c>
      <c r="AH85" s="55">
        <f t="shared" si="18"/>
        <v>0</v>
      </c>
      <c r="AI85" s="55">
        <f>COUNTIF('Score BD'!$M85:$P85,"no")</f>
        <v>0</v>
      </c>
      <c r="AJ85" s="55">
        <f t="shared" si="19"/>
        <v>0</v>
      </c>
      <c r="AK85" s="55">
        <f t="shared" si="20"/>
        <v>0</v>
      </c>
      <c r="AL85" s="55">
        <f t="shared" si="21"/>
        <v>0</v>
      </c>
      <c r="AM85" s="59" t="s">
        <v>357</v>
      </c>
      <c r="AN85" s="55"/>
      <c r="AO85" s="55"/>
      <c r="AP85" s="43"/>
      <c r="AQ85" s="59" t="str">
        <f>IFERROR(_xlfn.XLOOKUP(Tabla1[[#This Row],[Cedula agente]],Lista!$B$2:$B$97,Lista!$G$2:$G$97)," ")</f>
        <v>Luisa Fernanda Benavides Castrillon</v>
      </c>
      <c r="AR85" s="59" t="s">
        <v>162</v>
      </c>
      <c r="AS85" s="55" t="str">
        <f>IFERROR(_xlfn.XLOOKUP(Tabla1[[#This Row],[Cedula agente]],Lista!$B$2:$B$97,Lista!$F$2:$F$97)," ")</f>
        <v>John Sebastian Roncancio Avendaño</v>
      </c>
      <c r="AT85" s="99">
        <v>0.95</v>
      </c>
      <c r="AU85" s="200">
        <f>+WEEKNUM('Score BD'!$H85)-WEEKNUM(DATE(YEAR('Score BD'!$H85),MONTH('Score BD'!$H85),1))+1</f>
        <v>3</v>
      </c>
    </row>
    <row r="86" spans="1:47" ht="17.45" customHeight="1" x14ac:dyDescent="0.3">
      <c r="A86" s="49" t="str">
        <f t="shared" si="11"/>
        <v>Ministerio de Educación Nacional</v>
      </c>
      <c r="B86" s="50">
        <f>+IFERROR(COUNTIF($J$3:J86,J86)," ")</f>
        <v>12</v>
      </c>
      <c r="C86" s="54" t="str">
        <f>+'Score BD'!$J86&amp;'Score BD'!$B86</f>
        <v>Ana Graciela Barbosa Villalobos12</v>
      </c>
      <c r="D86" s="91" t="s">
        <v>148</v>
      </c>
      <c r="E86" s="92" t="s">
        <v>210</v>
      </c>
      <c r="F86" s="92" t="s">
        <v>212</v>
      </c>
      <c r="G86" s="60" t="str">
        <f t="shared" si="12"/>
        <v>Noviembre</v>
      </c>
      <c r="H86" s="65">
        <v>45971</v>
      </c>
      <c r="I86" s="243">
        <v>45968</v>
      </c>
      <c r="J86" s="57" t="s">
        <v>171</v>
      </c>
      <c r="K86" s="54">
        <f>IFERROR(VLOOKUP('Score BD'!$J86,Lista!A:B,2,0)," ")</f>
        <v>1026264261</v>
      </c>
      <c r="L86" s="61" t="s">
        <v>329</v>
      </c>
      <c r="M86" s="59" t="s">
        <v>4</v>
      </c>
      <c r="N86" s="59" t="s">
        <v>4</v>
      </c>
      <c r="O86" s="59" t="s">
        <v>4</v>
      </c>
      <c r="P86" s="59" t="s">
        <v>4</v>
      </c>
      <c r="Q86" s="96">
        <f t="shared" si="13"/>
        <v>1</v>
      </c>
      <c r="R86" s="59" t="s">
        <v>4</v>
      </c>
      <c r="S86" s="59" t="s">
        <v>4</v>
      </c>
      <c r="T86" s="59" t="s">
        <v>4</v>
      </c>
      <c r="U86" s="59" t="s">
        <v>4</v>
      </c>
      <c r="V86" s="72">
        <f t="shared" si="14"/>
        <v>1</v>
      </c>
      <c r="W86" s="59" t="s">
        <v>4</v>
      </c>
      <c r="X86" s="59" t="s">
        <v>4</v>
      </c>
      <c r="Y86" s="59" t="s">
        <v>4</v>
      </c>
      <c r="Z86" s="59" t="s">
        <v>4</v>
      </c>
      <c r="AA86" s="59" t="s">
        <v>4</v>
      </c>
      <c r="AB86" s="59" t="s">
        <v>4</v>
      </c>
      <c r="AC86" s="72">
        <f t="shared" si="15"/>
        <v>1.000000000000002</v>
      </c>
      <c r="AD86" s="59" t="s">
        <v>4</v>
      </c>
      <c r="AE86" s="59" t="s">
        <v>4</v>
      </c>
      <c r="AF86" s="97">
        <f t="shared" si="16"/>
        <v>1</v>
      </c>
      <c r="AG86" s="44">
        <f t="shared" si="17"/>
        <v>1.0000000000000004</v>
      </c>
      <c r="AH86" s="55">
        <f t="shared" si="18"/>
        <v>0</v>
      </c>
      <c r="AI86" s="55">
        <f>COUNTIF('Score BD'!$M86:$P86,"no")</f>
        <v>0</v>
      </c>
      <c r="AJ86" s="55">
        <f t="shared" si="19"/>
        <v>0</v>
      </c>
      <c r="AK86" s="55">
        <f t="shared" si="20"/>
        <v>0</v>
      </c>
      <c r="AL86" s="55">
        <f t="shared" si="21"/>
        <v>0</v>
      </c>
      <c r="AM86" s="59" t="s">
        <v>357</v>
      </c>
      <c r="AN86" s="55"/>
      <c r="AO86" s="55"/>
      <c r="AP86" s="43"/>
      <c r="AQ86" s="59" t="str">
        <f>IFERROR(_xlfn.XLOOKUP(Tabla1[[#This Row],[Cedula agente]],Lista!$B$2:$B$97,Lista!$G$2:$G$97)," ")</f>
        <v>Luisa Fernanda Benavides Castrillon</v>
      </c>
      <c r="AR86" s="59" t="s">
        <v>162</v>
      </c>
      <c r="AS86" s="55" t="str">
        <f>IFERROR(_xlfn.XLOOKUP(Tabla1[[#This Row],[Cedula agente]],Lista!$B$2:$B$97,Lista!$F$2:$F$97)," ")</f>
        <v>John Sebastian Roncancio Avendaño</v>
      </c>
      <c r="AT86" s="99">
        <v>0.95</v>
      </c>
      <c r="AU86" s="200">
        <f>+WEEKNUM('Score BD'!$H86)-WEEKNUM(DATE(YEAR('Score BD'!$H86),MONTH('Score BD'!$H86),1))+1</f>
        <v>3</v>
      </c>
    </row>
    <row r="87" spans="1:47" ht="17.45" customHeight="1" x14ac:dyDescent="0.3">
      <c r="A87" s="49" t="str">
        <f t="shared" si="11"/>
        <v>Ministerio de Educación Nacional</v>
      </c>
      <c r="B87" s="50">
        <f>+IFERROR(COUNTIF($J$3:J87,J87)," ")</f>
        <v>13</v>
      </c>
      <c r="C87" s="54" t="str">
        <f>+'Score BD'!$J87&amp;'Score BD'!$B87</f>
        <v>Ana Graciela Barbosa Villalobos13</v>
      </c>
      <c r="D87" s="91" t="s">
        <v>148</v>
      </c>
      <c r="E87" s="92" t="s">
        <v>210</v>
      </c>
      <c r="F87" s="92" t="s">
        <v>212</v>
      </c>
      <c r="G87" s="60" t="str">
        <f t="shared" si="12"/>
        <v>Noviembre</v>
      </c>
      <c r="H87" s="65">
        <v>45971</v>
      </c>
      <c r="I87" s="243">
        <v>45968</v>
      </c>
      <c r="J87" s="57" t="s">
        <v>171</v>
      </c>
      <c r="K87" s="54">
        <f>IFERROR(VLOOKUP('Score BD'!$J87,Lista!A:B,2,0)," ")</f>
        <v>1026264261</v>
      </c>
      <c r="L87" s="61" t="s">
        <v>330</v>
      </c>
      <c r="M87" s="59" t="s">
        <v>4</v>
      </c>
      <c r="N87" s="59" t="s">
        <v>4</v>
      </c>
      <c r="O87" s="59" t="s">
        <v>4</v>
      </c>
      <c r="P87" s="59" t="s">
        <v>4</v>
      </c>
      <c r="Q87" s="96">
        <f t="shared" si="13"/>
        <v>1</v>
      </c>
      <c r="R87" s="59" t="s">
        <v>4</v>
      </c>
      <c r="S87" s="59" t="s">
        <v>4</v>
      </c>
      <c r="T87" s="59" t="s">
        <v>4</v>
      </c>
      <c r="U87" s="59" t="s">
        <v>4</v>
      </c>
      <c r="V87" s="72">
        <f t="shared" si="14"/>
        <v>1</v>
      </c>
      <c r="W87" s="59" t="s">
        <v>4</v>
      </c>
      <c r="X87" s="59" t="s">
        <v>4</v>
      </c>
      <c r="Y87" s="59" t="s">
        <v>4</v>
      </c>
      <c r="Z87" s="59" t="s">
        <v>4</v>
      </c>
      <c r="AA87" s="59" t="s">
        <v>4</v>
      </c>
      <c r="AB87" s="59" t="s">
        <v>4</v>
      </c>
      <c r="AC87" s="72">
        <f t="shared" si="15"/>
        <v>1.000000000000002</v>
      </c>
      <c r="AD87" s="59" t="s">
        <v>4</v>
      </c>
      <c r="AE87" s="59" t="s">
        <v>4</v>
      </c>
      <c r="AF87" s="97">
        <f t="shared" si="16"/>
        <v>1</v>
      </c>
      <c r="AG87" s="44">
        <f t="shared" si="17"/>
        <v>1.0000000000000004</v>
      </c>
      <c r="AH87" s="55">
        <f t="shared" si="18"/>
        <v>0</v>
      </c>
      <c r="AI87" s="55">
        <f>COUNTIF('Score BD'!$M87:$P87,"no")</f>
        <v>0</v>
      </c>
      <c r="AJ87" s="55">
        <f t="shared" si="19"/>
        <v>0</v>
      </c>
      <c r="AK87" s="55">
        <f t="shared" si="20"/>
        <v>0</v>
      </c>
      <c r="AL87" s="55">
        <f t="shared" si="21"/>
        <v>0</v>
      </c>
      <c r="AM87" s="59" t="s">
        <v>357</v>
      </c>
      <c r="AN87" s="55"/>
      <c r="AO87" s="55"/>
      <c r="AP87" s="43"/>
      <c r="AQ87" s="59" t="str">
        <f>IFERROR(_xlfn.XLOOKUP(Tabla1[[#This Row],[Cedula agente]],Lista!$B$2:$B$97,Lista!$G$2:$G$97)," ")</f>
        <v>Luisa Fernanda Benavides Castrillon</v>
      </c>
      <c r="AR87" s="59" t="s">
        <v>162</v>
      </c>
      <c r="AS87" s="55" t="str">
        <f>IFERROR(_xlfn.XLOOKUP(Tabla1[[#This Row],[Cedula agente]],Lista!$B$2:$B$97,Lista!$F$2:$F$97)," ")</f>
        <v>John Sebastian Roncancio Avendaño</v>
      </c>
      <c r="AT87" s="99">
        <v>0.95</v>
      </c>
      <c r="AU87" s="200">
        <f>+WEEKNUM('Score BD'!$H87)-WEEKNUM(DATE(YEAR('Score BD'!$H87),MONTH('Score BD'!$H87),1))+1</f>
        <v>3</v>
      </c>
    </row>
    <row r="88" spans="1:47" ht="17.45" customHeight="1" x14ac:dyDescent="0.3">
      <c r="A88" s="49" t="str">
        <f t="shared" si="11"/>
        <v>Ministerio de Educación Nacional</v>
      </c>
      <c r="B88" s="50">
        <f>+IFERROR(COUNTIF($J$3:J88,J88)," ")</f>
        <v>4</v>
      </c>
      <c r="C88" s="54" t="str">
        <f>+'Score BD'!$J88&amp;'Score BD'!$B88</f>
        <v>Cesar Rodrigo García4</v>
      </c>
      <c r="D88" s="91" t="s">
        <v>148</v>
      </c>
      <c r="E88" s="92" t="s">
        <v>165</v>
      </c>
      <c r="F88" s="92" t="s">
        <v>212</v>
      </c>
      <c r="G88" s="60" t="str">
        <f t="shared" si="12"/>
        <v>Noviembre</v>
      </c>
      <c r="H88" s="65">
        <v>45971</v>
      </c>
      <c r="I88" s="243">
        <v>45968</v>
      </c>
      <c r="J88" s="57" t="s">
        <v>172</v>
      </c>
      <c r="K88" s="54">
        <f>IFERROR(VLOOKUP('Score BD'!$J88,Lista!A:B,2,0)," ")</f>
        <v>1069257937</v>
      </c>
      <c r="L88" s="61" t="s">
        <v>331</v>
      </c>
      <c r="M88" s="59" t="s">
        <v>4</v>
      </c>
      <c r="N88" s="59" t="s">
        <v>4</v>
      </c>
      <c r="O88" s="59" t="s">
        <v>4</v>
      </c>
      <c r="P88" s="59" t="s">
        <v>4</v>
      </c>
      <c r="Q88" s="96">
        <f t="shared" si="13"/>
        <v>1</v>
      </c>
      <c r="R88" s="59" t="s">
        <v>4</v>
      </c>
      <c r="S88" s="59" t="s">
        <v>4</v>
      </c>
      <c r="T88" s="59" t="s">
        <v>4</v>
      </c>
      <c r="U88" s="59" t="s">
        <v>4</v>
      </c>
      <c r="V88" s="72">
        <f t="shared" si="14"/>
        <v>1</v>
      </c>
      <c r="W88" s="59" t="s">
        <v>4</v>
      </c>
      <c r="X88" s="59" t="s">
        <v>4</v>
      </c>
      <c r="Y88" s="59" t="s">
        <v>4</v>
      </c>
      <c r="Z88" s="59" t="s">
        <v>4</v>
      </c>
      <c r="AA88" s="59" t="s">
        <v>4</v>
      </c>
      <c r="AB88" s="59" t="s">
        <v>4</v>
      </c>
      <c r="AC88" s="72">
        <f t="shared" si="15"/>
        <v>1.000000000000002</v>
      </c>
      <c r="AD88" s="59" t="s">
        <v>4</v>
      </c>
      <c r="AE88" s="59" t="s">
        <v>4</v>
      </c>
      <c r="AF88" s="97">
        <f t="shared" si="16"/>
        <v>1</v>
      </c>
      <c r="AG88" s="44">
        <f t="shared" si="17"/>
        <v>1.0000000000000004</v>
      </c>
      <c r="AH88" s="55">
        <f t="shared" si="18"/>
        <v>0</v>
      </c>
      <c r="AI88" s="55">
        <f>COUNTIF('Score BD'!$M88:$P88,"no")</f>
        <v>0</v>
      </c>
      <c r="AJ88" s="55">
        <f t="shared" si="19"/>
        <v>0</v>
      </c>
      <c r="AK88" s="55">
        <f t="shared" si="20"/>
        <v>0</v>
      </c>
      <c r="AL88" s="55">
        <f t="shared" si="21"/>
        <v>0</v>
      </c>
      <c r="AM88" s="59" t="s">
        <v>357</v>
      </c>
      <c r="AN88" s="55"/>
      <c r="AO88" s="55"/>
      <c r="AP88" s="43"/>
      <c r="AQ88" s="59" t="str">
        <f>IFERROR(_xlfn.XLOOKUP(Tabla1[[#This Row],[Cedula agente]],Lista!$B$2:$B$97,Lista!$G$2:$G$97)," ")</f>
        <v>Luisa Fernanda Benavides Castrillon</v>
      </c>
      <c r="AR88" s="59" t="s">
        <v>162</v>
      </c>
      <c r="AS88" s="55" t="str">
        <f>IFERROR(_xlfn.XLOOKUP(Tabla1[[#This Row],[Cedula agente]],Lista!$B$2:$B$97,Lista!$F$2:$F$97)," ")</f>
        <v>John Sebastian Roncancio Avendaño</v>
      </c>
      <c r="AT88" s="99">
        <v>0.95</v>
      </c>
      <c r="AU88" s="200">
        <f>+WEEKNUM('Score BD'!$H88)-WEEKNUM(DATE(YEAR('Score BD'!$H88),MONTH('Score BD'!$H88),1))+1</f>
        <v>3</v>
      </c>
    </row>
    <row r="89" spans="1:47" ht="17.45" customHeight="1" x14ac:dyDescent="0.3">
      <c r="A89" s="49" t="str">
        <f t="shared" si="11"/>
        <v>Ministerio de Educación Nacional</v>
      </c>
      <c r="B89" s="50">
        <f>+IFERROR(COUNTIF($J$3:J89,J89)," ")</f>
        <v>4</v>
      </c>
      <c r="C89" s="54" t="str">
        <f>+'Score BD'!$J89&amp;'Score BD'!$B89</f>
        <v>Cristian Enrique Benitez Rodriguez4</v>
      </c>
      <c r="D89" s="91" t="s">
        <v>148</v>
      </c>
      <c r="E89" s="92" t="s">
        <v>165</v>
      </c>
      <c r="F89" s="92" t="s">
        <v>212</v>
      </c>
      <c r="G89" s="60" t="str">
        <f t="shared" si="12"/>
        <v>Noviembre</v>
      </c>
      <c r="H89" s="65">
        <v>45971</v>
      </c>
      <c r="I89" s="243">
        <v>45968</v>
      </c>
      <c r="J89" s="57" t="s">
        <v>173</v>
      </c>
      <c r="K89" s="54">
        <f>IFERROR(VLOOKUP('Score BD'!$J89,Lista!A:B,2,0)," ")</f>
        <v>1026574814</v>
      </c>
      <c r="L89" s="61" t="s">
        <v>332</v>
      </c>
      <c r="M89" s="59" t="s">
        <v>4</v>
      </c>
      <c r="N89" s="59" t="s">
        <v>4</v>
      </c>
      <c r="O89" s="59" t="s">
        <v>4</v>
      </c>
      <c r="P89" s="59" t="s">
        <v>4</v>
      </c>
      <c r="Q89" s="96">
        <f t="shared" si="13"/>
        <v>1</v>
      </c>
      <c r="R89" s="59" t="s">
        <v>4</v>
      </c>
      <c r="S89" s="59" t="s">
        <v>4</v>
      </c>
      <c r="T89" s="59" t="s">
        <v>4</v>
      </c>
      <c r="U89" s="59" t="s">
        <v>4</v>
      </c>
      <c r="V89" s="72">
        <f t="shared" si="14"/>
        <v>1</v>
      </c>
      <c r="W89" s="59" t="s">
        <v>4</v>
      </c>
      <c r="X89" s="59" t="s">
        <v>4</v>
      </c>
      <c r="Y89" s="59" t="s">
        <v>4</v>
      </c>
      <c r="Z89" s="59" t="s">
        <v>4</v>
      </c>
      <c r="AA89" s="59" t="s">
        <v>4</v>
      </c>
      <c r="AB89" s="59" t="s">
        <v>4</v>
      </c>
      <c r="AC89" s="72">
        <f t="shared" si="15"/>
        <v>1.000000000000002</v>
      </c>
      <c r="AD89" s="59" t="s">
        <v>4</v>
      </c>
      <c r="AE89" s="59" t="s">
        <v>4</v>
      </c>
      <c r="AF89" s="97">
        <f t="shared" si="16"/>
        <v>1</v>
      </c>
      <c r="AG89" s="44">
        <f t="shared" si="17"/>
        <v>1.0000000000000004</v>
      </c>
      <c r="AH89" s="55">
        <f t="shared" si="18"/>
        <v>0</v>
      </c>
      <c r="AI89" s="55">
        <f>COUNTIF('Score BD'!$M89:$P89,"no")</f>
        <v>0</v>
      </c>
      <c r="AJ89" s="55">
        <f t="shared" si="19"/>
        <v>0</v>
      </c>
      <c r="AK89" s="55">
        <f t="shared" si="20"/>
        <v>0</v>
      </c>
      <c r="AL89" s="55">
        <f t="shared" si="21"/>
        <v>0</v>
      </c>
      <c r="AM89" s="59" t="s">
        <v>357</v>
      </c>
      <c r="AN89" s="55"/>
      <c r="AO89" s="55"/>
      <c r="AP89" s="43"/>
      <c r="AQ89" s="59" t="str">
        <f>IFERROR(_xlfn.XLOOKUP(Tabla1[[#This Row],[Cedula agente]],Lista!$B$2:$B$97,Lista!$G$2:$G$97)," ")</f>
        <v>Luisa Fernanda Benavides Castrillon</v>
      </c>
      <c r="AR89" s="59" t="s">
        <v>162</v>
      </c>
      <c r="AS89" s="55" t="str">
        <f>IFERROR(_xlfn.XLOOKUP(Tabla1[[#This Row],[Cedula agente]],Lista!$B$2:$B$97,Lista!$F$2:$F$97)," ")</f>
        <v>John Sebastian Roncancio Avendaño</v>
      </c>
      <c r="AT89" s="99">
        <v>0.95</v>
      </c>
      <c r="AU89" s="200">
        <f>+WEEKNUM('Score BD'!$H89)-WEEKNUM(DATE(YEAR('Score BD'!$H89),MONTH('Score BD'!$H89),1))+1</f>
        <v>3</v>
      </c>
    </row>
    <row r="90" spans="1:47" ht="17.45" customHeight="1" x14ac:dyDescent="0.3">
      <c r="A90" s="49" t="str">
        <f t="shared" si="11"/>
        <v>Ministerio de Educación Nacional</v>
      </c>
      <c r="B90" s="50">
        <f>+IFERROR(COUNTIF($J$3:J90,J90)," ")</f>
        <v>2</v>
      </c>
      <c r="C90" s="54" t="str">
        <f>+'Score BD'!$J90&amp;'Score BD'!$B90</f>
        <v>Daniela Murillo Solano2</v>
      </c>
      <c r="D90" s="91" t="s">
        <v>148</v>
      </c>
      <c r="E90" s="92" t="s">
        <v>211</v>
      </c>
      <c r="F90" s="92" t="s">
        <v>212</v>
      </c>
      <c r="G90" s="60" t="str">
        <f t="shared" si="12"/>
        <v>Noviembre</v>
      </c>
      <c r="H90" s="65">
        <v>45971</v>
      </c>
      <c r="I90" s="243">
        <v>45968</v>
      </c>
      <c r="J90" s="57" t="s">
        <v>203</v>
      </c>
      <c r="K90" s="54">
        <f>IFERROR(VLOOKUP('Score BD'!$J90,Lista!A:B,2,0)," ")</f>
        <v>1234194276</v>
      </c>
      <c r="L90" s="61" t="s">
        <v>333</v>
      </c>
      <c r="M90" s="59" t="s">
        <v>4</v>
      </c>
      <c r="N90" s="59" t="s">
        <v>4</v>
      </c>
      <c r="O90" s="59" t="s">
        <v>4</v>
      </c>
      <c r="P90" s="59" t="s">
        <v>4</v>
      </c>
      <c r="Q90" s="96">
        <f t="shared" si="13"/>
        <v>1</v>
      </c>
      <c r="R90" s="59" t="s">
        <v>4</v>
      </c>
      <c r="S90" s="59" t="s">
        <v>4</v>
      </c>
      <c r="T90" s="59" t="s">
        <v>4</v>
      </c>
      <c r="U90" s="59" t="s">
        <v>4</v>
      </c>
      <c r="V90" s="72">
        <f t="shared" si="14"/>
        <v>1</v>
      </c>
      <c r="W90" s="59" t="s">
        <v>4</v>
      </c>
      <c r="X90" s="59" t="s">
        <v>4</v>
      </c>
      <c r="Y90" s="59" t="s">
        <v>4</v>
      </c>
      <c r="Z90" s="59" t="s">
        <v>4</v>
      </c>
      <c r="AA90" s="59" t="s">
        <v>4</v>
      </c>
      <c r="AB90" s="59" t="s">
        <v>4</v>
      </c>
      <c r="AC90" s="72">
        <f t="shared" si="15"/>
        <v>1.000000000000002</v>
      </c>
      <c r="AD90" s="59" t="s">
        <v>4</v>
      </c>
      <c r="AE90" s="59" t="s">
        <v>4</v>
      </c>
      <c r="AF90" s="97">
        <f t="shared" si="16"/>
        <v>1</v>
      </c>
      <c r="AG90" s="44">
        <f t="shared" si="17"/>
        <v>1.0000000000000004</v>
      </c>
      <c r="AH90" s="55">
        <f t="shared" si="18"/>
        <v>0</v>
      </c>
      <c r="AI90" s="55">
        <f>COUNTIF('Score BD'!$M90:$P90,"no")</f>
        <v>0</v>
      </c>
      <c r="AJ90" s="55">
        <f t="shared" si="19"/>
        <v>0</v>
      </c>
      <c r="AK90" s="55">
        <f t="shared" si="20"/>
        <v>0</v>
      </c>
      <c r="AL90" s="55">
        <f t="shared" si="21"/>
        <v>0</v>
      </c>
      <c r="AM90" s="59" t="s">
        <v>357</v>
      </c>
      <c r="AN90" s="55"/>
      <c r="AO90" s="55"/>
      <c r="AP90" s="43"/>
      <c r="AQ90" s="59" t="str">
        <f>IFERROR(_xlfn.XLOOKUP(Tabla1[[#This Row],[Cedula agente]],Lista!$B$2:$B$97,Lista!$G$2:$G$97)," ")</f>
        <v>Luisa Fernanda Benavides Castrillon</v>
      </c>
      <c r="AR90" s="59" t="s">
        <v>162</v>
      </c>
      <c r="AS90" s="55" t="str">
        <f>IFERROR(_xlfn.XLOOKUP(Tabla1[[#This Row],[Cedula agente]],Lista!$B$2:$B$97,Lista!$F$2:$F$97)," ")</f>
        <v>John Sebastian Roncancio Avendaño</v>
      </c>
      <c r="AT90" s="99">
        <v>0.95</v>
      </c>
      <c r="AU90" s="200">
        <f>+WEEKNUM('Score BD'!$H90)-WEEKNUM(DATE(YEAR('Score BD'!$H90),MONTH('Score BD'!$H90),1))+1</f>
        <v>3</v>
      </c>
    </row>
    <row r="91" spans="1:47" ht="17.45" customHeight="1" x14ac:dyDescent="0.3">
      <c r="A91" s="49" t="str">
        <f t="shared" si="11"/>
        <v>Ministerio de Educación Nacional</v>
      </c>
      <c r="B91" s="50">
        <f>+IFERROR(COUNTIF($J$3:J91,J91)," ")</f>
        <v>8</v>
      </c>
      <c r="C91" s="54" t="str">
        <f>+'Score BD'!$J91&amp;'Score BD'!$B91</f>
        <v>Erika Natalia Ramírez Herrera8</v>
      </c>
      <c r="D91" s="91" t="s">
        <v>148</v>
      </c>
      <c r="E91" s="92" t="s">
        <v>164</v>
      </c>
      <c r="F91" s="92" t="s">
        <v>212</v>
      </c>
      <c r="G91" s="60" t="str">
        <f t="shared" si="12"/>
        <v>Noviembre</v>
      </c>
      <c r="H91" s="65">
        <v>45971</v>
      </c>
      <c r="I91" s="243">
        <v>45968</v>
      </c>
      <c r="J91" s="57" t="s">
        <v>174</v>
      </c>
      <c r="K91" s="54">
        <f>IFERROR(VLOOKUP('Score BD'!$J91,Lista!A:B,2,0)," ")</f>
        <v>1032367072</v>
      </c>
      <c r="L91" s="61" t="s">
        <v>334</v>
      </c>
      <c r="M91" s="59" t="s">
        <v>4</v>
      </c>
      <c r="N91" s="59" t="s">
        <v>4</v>
      </c>
      <c r="O91" s="59" t="s">
        <v>4</v>
      </c>
      <c r="P91" s="59" t="s">
        <v>4</v>
      </c>
      <c r="Q91" s="96">
        <f t="shared" si="13"/>
        <v>1</v>
      </c>
      <c r="R91" s="59" t="s">
        <v>4</v>
      </c>
      <c r="S91" s="59" t="s">
        <v>4</v>
      </c>
      <c r="T91" s="59" t="s">
        <v>4</v>
      </c>
      <c r="U91" s="59" t="s">
        <v>4</v>
      </c>
      <c r="V91" s="72">
        <f t="shared" si="14"/>
        <v>1</v>
      </c>
      <c r="W91" s="59" t="s">
        <v>4</v>
      </c>
      <c r="X91" s="59" t="s">
        <v>4</v>
      </c>
      <c r="Y91" s="59" t="s">
        <v>4</v>
      </c>
      <c r="Z91" s="59" t="s">
        <v>4</v>
      </c>
      <c r="AA91" s="59" t="s">
        <v>4</v>
      </c>
      <c r="AB91" s="59" t="s">
        <v>4</v>
      </c>
      <c r="AC91" s="72">
        <f t="shared" si="15"/>
        <v>1.000000000000002</v>
      </c>
      <c r="AD91" s="59" t="s">
        <v>4</v>
      </c>
      <c r="AE91" s="59" t="s">
        <v>4</v>
      </c>
      <c r="AF91" s="97">
        <f t="shared" si="16"/>
        <v>1</v>
      </c>
      <c r="AG91" s="44">
        <f t="shared" si="17"/>
        <v>1.0000000000000004</v>
      </c>
      <c r="AH91" s="55">
        <f t="shared" si="18"/>
        <v>0</v>
      </c>
      <c r="AI91" s="55">
        <f>COUNTIF('Score BD'!$M91:$P91,"no")</f>
        <v>0</v>
      </c>
      <c r="AJ91" s="55">
        <f t="shared" si="19"/>
        <v>0</v>
      </c>
      <c r="AK91" s="55">
        <f t="shared" si="20"/>
        <v>0</v>
      </c>
      <c r="AL91" s="55">
        <f t="shared" si="21"/>
        <v>0</v>
      </c>
      <c r="AM91" s="59" t="s">
        <v>357</v>
      </c>
      <c r="AN91" s="55"/>
      <c r="AO91" s="55"/>
      <c r="AP91" s="43"/>
      <c r="AQ91" s="59" t="str">
        <f>IFERROR(_xlfn.XLOOKUP(Tabla1[[#This Row],[Cedula agente]],Lista!$B$2:$B$97,Lista!$G$2:$G$97)," ")</f>
        <v>Luisa Fernanda Benavides Castrillon</v>
      </c>
      <c r="AR91" s="59" t="s">
        <v>162</v>
      </c>
      <c r="AS91" s="55" t="str">
        <f>IFERROR(_xlfn.XLOOKUP(Tabla1[[#This Row],[Cedula agente]],Lista!$B$2:$B$97,Lista!$F$2:$F$97)," ")</f>
        <v>John Sebastian Roncancio Avendaño</v>
      </c>
      <c r="AT91" s="99">
        <v>0.95</v>
      </c>
      <c r="AU91" s="200">
        <f>+WEEKNUM('Score BD'!$H91)-WEEKNUM(DATE(YEAR('Score BD'!$H91),MONTH('Score BD'!$H91),1))+1</f>
        <v>3</v>
      </c>
    </row>
    <row r="92" spans="1:47" ht="17.45" customHeight="1" x14ac:dyDescent="0.3">
      <c r="A92" s="49" t="str">
        <f t="shared" si="11"/>
        <v>Ministerio de Educación Nacional</v>
      </c>
      <c r="B92" s="50">
        <f>+IFERROR(COUNTIF($J$3:J92,J92)," ")</f>
        <v>9</v>
      </c>
      <c r="C92" s="54" t="str">
        <f>+'Score BD'!$J92&amp;'Score BD'!$B92</f>
        <v>Erika Natalia Ramírez Herrera9</v>
      </c>
      <c r="D92" s="91" t="s">
        <v>148</v>
      </c>
      <c r="E92" s="92" t="s">
        <v>164</v>
      </c>
      <c r="F92" s="92" t="s">
        <v>212</v>
      </c>
      <c r="G92" s="60" t="str">
        <f t="shared" si="12"/>
        <v>Noviembre</v>
      </c>
      <c r="H92" s="65">
        <v>45971</v>
      </c>
      <c r="I92" s="243">
        <v>45968</v>
      </c>
      <c r="J92" s="57" t="s">
        <v>174</v>
      </c>
      <c r="K92" s="54">
        <f>IFERROR(VLOOKUP('Score BD'!$J92,Lista!A:B,2,0)," ")</f>
        <v>1032367072</v>
      </c>
      <c r="L92" s="61" t="s">
        <v>335</v>
      </c>
      <c r="M92" s="59" t="s">
        <v>4</v>
      </c>
      <c r="N92" s="59" t="s">
        <v>4</v>
      </c>
      <c r="O92" s="59" t="s">
        <v>4</v>
      </c>
      <c r="P92" s="59" t="s">
        <v>4</v>
      </c>
      <c r="Q92" s="96">
        <f t="shared" si="13"/>
        <v>1</v>
      </c>
      <c r="R92" s="59" t="s">
        <v>4</v>
      </c>
      <c r="S92" s="59" t="s">
        <v>4</v>
      </c>
      <c r="T92" s="59" t="s">
        <v>4</v>
      </c>
      <c r="U92" s="59" t="s">
        <v>4</v>
      </c>
      <c r="V92" s="72">
        <f t="shared" si="14"/>
        <v>1</v>
      </c>
      <c r="W92" s="59" t="s">
        <v>4</v>
      </c>
      <c r="X92" s="59" t="s">
        <v>4</v>
      </c>
      <c r="Y92" s="59" t="s">
        <v>4</v>
      </c>
      <c r="Z92" s="59" t="s">
        <v>4</v>
      </c>
      <c r="AA92" s="59" t="s">
        <v>4</v>
      </c>
      <c r="AB92" s="59" t="s">
        <v>4</v>
      </c>
      <c r="AC92" s="72">
        <f t="shared" si="15"/>
        <v>1.000000000000002</v>
      </c>
      <c r="AD92" s="59" t="s">
        <v>4</v>
      </c>
      <c r="AE92" s="59" t="s">
        <v>4</v>
      </c>
      <c r="AF92" s="97">
        <f t="shared" si="16"/>
        <v>1</v>
      </c>
      <c r="AG92" s="44">
        <f t="shared" si="17"/>
        <v>1.0000000000000004</v>
      </c>
      <c r="AH92" s="55">
        <f t="shared" si="18"/>
        <v>0</v>
      </c>
      <c r="AI92" s="55">
        <f>COUNTIF('Score BD'!$M92:$P92,"no")</f>
        <v>0</v>
      </c>
      <c r="AJ92" s="55">
        <f t="shared" si="19"/>
        <v>0</v>
      </c>
      <c r="AK92" s="55">
        <f t="shared" si="20"/>
        <v>0</v>
      </c>
      <c r="AL92" s="55">
        <f t="shared" si="21"/>
        <v>0</v>
      </c>
      <c r="AM92" s="59" t="s">
        <v>357</v>
      </c>
      <c r="AN92" s="55"/>
      <c r="AO92" s="55"/>
      <c r="AP92" s="43"/>
      <c r="AQ92" s="59" t="str">
        <f>IFERROR(_xlfn.XLOOKUP(Tabla1[[#This Row],[Cedula agente]],Lista!$B$2:$B$97,Lista!$G$2:$G$97)," ")</f>
        <v>Luisa Fernanda Benavides Castrillon</v>
      </c>
      <c r="AR92" s="59" t="s">
        <v>162</v>
      </c>
      <c r="AS92" s="55" t="str">
        <f>IFERROR(_xlfn.XLOOKUP(Tabla1[[#This Row],[Cedula agente]],Lista!$B$2:$B$97,Lista!$F$2:$F$97)," ")</f>
        <v>John Sebastian Roncancio Avendaño</v>
      </c>
      <c r="AT92" s="99">
        <v>0.95</v>
      </c>
      <c r="AU92" s="200">
        <f>+WEEKNUM('Score BD'!$H92)-WEEKNUM(DATE(YEAR('Score BD'!$H92),MONTH('Score BD'!$H92),1))+1</f>
        <v>3</v>
      </c>
    </row>
    <row r="93" spans="1:47" ht="17.45" customHeight="1" x14ac:dyDescent="0.3">
      <c r="A93" s="49" t="str">
        <f t="shared" si="11"/>
        <v>Ministerio de Educación Nacional</v>
      </c>
      <c r="B93" s="50">
        <f>+IFERROR(COUNTIF($J$3:J93,J93)," ")</f>
        <v>10</v>
      </c>
      <c r="C93" s="54" t="str">
        <f>+'Score BD'!$J93&amp;'Score BD'!$B93</f>
        <v>Erika Natalia Ramírez Herrera10</v>
      </c>
      <c r="D93" s="91" t="s">
        <v>148</v>
      </c>
      <c r="E93" s="92" t="s">
        <v>164</v>
      </c>
      <c r="F93" s="92" t="s">
        <v>212</v>
      </c>
      <c r="G93" s="60" t="str">
        <f t="shared" si="12"/>
        <v>Noviembre</v>
      </c>
      <c r="H93" s="65">
        <v>45971</v>
      </c>
      <c r="I93" s="243">
        <v>45968</v>
      </c>
      <c r="J93" s="57" t="s">
        <v>174</v>
      </c>
      <c r="K93" s="54">
        <f>IFERROR(VLOOKUP('Score BD'!$J93,Lista!A:B,2,0)," ")</f>
        <v>1032367072</v>
      </c>
      <c r="L93" s="61" t="s">
        <v>336</v>
      </c>
      <c r="M93" s="59" t="s">
        <v>4</v>
      </c>
      <c r="N93" s="59" t="s">
        <v>4</v>
      </c>
      <c r="O93" s="59" t="s">
        <v>4</v>
      </c>
      <c r="P93" s="59" t="s">
        <v>4</v>
      </c>
      <c r="Q93" s="96">
        <f t="shared" si="13"/>
        <v>1</v>
      </c>
      <c r="R93" s="59" t="s">
        <v>4</v>
      </c>
      <c r="S93" s="59" t="s">
        <v>4</v>
      </c>
      <c r="T93" s="59" t="s">
        <v>4</v>
      </c>
      <c r="U93" s="59" t="s">
        <v>4</v>
      </c>
      <c r="V93" s="72">
        <f t="shared" si="14"/>
        <v>1</v>
      </c>
      <c r="W93" s="59" t="s">
        <v>4</v>
      </c>
      <c r="X93" s="59" t="s">
        <v>4</v>
      </c>
      <c r="Y93" s="59" t="s">
        <v>4</v>
      </c>
      <c r="Z93" s="59" t="s">
        <v>4</v>
      </c>
      <c r="AA93" s="59" t="s">
        <v>4</v>
      </c>
      <c r="AB93" s="59" t="s">
        <v>4</v>
      </c>
      <c r="AC93" s="72">
        <f t="shared" si="15"/>
        <v>1.000000000000002</v>
      </c>
      <c r="AD93" s="59" t="s">
        <v>4</v>
      </c>
      <c r="AE93" s="59" t="s">
        <v>4</v>
      </c>
      <c r="AF93" s="97">
        <f t="shared" si="16"/>
        <v>1</v>
      </c>
      <c r="AG93" s="44">
        <f t="shared" si="17"/>
        <v>1.0000000000000004</v>
      </c>
      <c r="AH93" s="55">
        <f t="shared" si="18"/>
        <v>0</v>
      </c>
      <c r="AI93" s="55">
        <f>COUNTIF('Score BD'!$M93:$P93,"no")</f>
        <v>0</v>
      </c>
      <c r="AJ93" s="55">
        <f t="shared" si="19"/>
        <v>0</v>
      </c>
      <c r="AK93" s="55">
        <f t="shared" si="20"/>
        <v>0</v>
      </c>
      <c r="AL93" s="55">
        <f t="shared" si="21"/>
        <v>0</v>
      </c>
      <c r="AM93" s="59" t="s">
        <v>357</v>
      </c>
      <c r="AN93" s="55"/>
      <c r="AO93" s="55"/>
      <c r="AP93" s="43"/>
      <c r="AQ93" s="59" t="str">
        <f>IFERROR(_xlfn.XLOOKUP(Tabla1[[#This Row],[Cedula agente]],Lista!$B$2:$B$97,Lista!$G$2:$G$97)," ")</f>
        <v>Luisa Fernanda Benavides Castrillon</v>
      </c>
      <c r="AR93" s="59" t="s">
        <v>162</v>
      </c>
      <c r="AS93" s="55" t="str">
        <f>IFERROR(_xlfn.XLOOKUP(Tabla1[[#This Row],[Cedula agente]],Lista!$B$2:$B$97,Lista!$F$2:$F$97)," ")</f>
        <v>John Sebastian Roncancio Avendaño</v>
      </c>
      <c r="AT93" s="99">
        <v>0.95</v>
      </c>
      <c r="AU93" s="200">
        <f>+WEEKNUM('Score BD'!$H93)-WEEKNUM(DATE(YEAR('Score BD'!$H93),MONTH('Score BD'!$H93),1))+1</f>
        <v>3</v>
      </c>
    </row>
    <row r="94" spans="1:47" ht="17.45" customHeight="1" x14ac:dyDescent="0.3">
      <c r="A94" s="49" t="str">
        <f t="shared" si="11"/>
        <v>Ministerio de Educación Nacional</v>
      </c>
      <c r="B94" s="50">
        <f>+IFERROR(COUNTIF($J$3:J94,J94)," ")</f>
        <v>11</v>
      </c>
      <c r="C94" s="54" t="str">
        <f>+'Score BD'!$J94&amp;'Score BD'!$B94</f>
        <v>Erika Natalia Ramírez Herrera11</v>
      </c>
      <c r="D94" s="91" t="s">
        <v>148</v>
      </c>
      <c r="E94" s="92" t="s">
        <v>164</v>
      </c>
      <c r="F94" s="92" t="s">
        <v>212</v>
      </c>
      <c r="G94" s="60" t="str">
        <f t="shared" si="12"/>
        <v>Noviembre</v>
      </c>
      <c r="H94" s="65">
        <v>45971</v>
      </c>
      <c r="I94" s="243">
        <v>45968</v>
      </c>
      <c r="J94" s="57" t="s">
        <v>174</v>
      </c>
      <c r="K94" s="54">
        <f>IFERROR(VLOOKUP('Score BD'!$J94,Lista!A:B,2,0)," ")</f>
        <v>1032367072</v>
      </c>
      <c r="L94" s="61" t="s">
        <v>337</v>
      </c>
      <c r="M94" s="59" t="s">
        <v>4</v>
      </c>
      <c r="N94" s="59" t="s">
        <v>4</v>
      </c>
      <c r="O94" s="59" t="s">
        <v>4</v>
      </c>
      <c r="P94" s="59" t="s">
        <v>4</v>
      </c>
      <c r="Q94" s="96">
        <f t="shared" si="13"/>
        <v>1</v>
      </c>
      <c r="R94" s="59" t="s">
        <v>4</v>
      </c>
      <c r="S94" s="59" t="s">
        <v>4</v>
      </c>
      <c r="T94" s="59" t="s">
        <v>4</v>
      </c>
      <c r="U94" s="59" t="s">
        <v>4</v>
      </c>
      <c r="V94" s="72">
        <f t="shared" si="14"/>
        <v>1</v>
      </c>
      <c r="W94" s="59" t="s">
        <v>4</v>
      </c>
      <c r="X94" s="59" t="s">
        <v>4</v>
      </c>
      <c r="Y94" s="59" t="s">
        <v>4</v>
      </c>
      <c r="Z94" s="59" t="s">
        <v>4</v>
      </c>
      <c r="AA94" s="59" t="s">
        <v>4</v>
      </c>
      <c r="AB94" s="59" t="s">
        <v>4</v>
      </c>
      <c r="AC94" s="72">
        <f t="shared" si="15"/>
        <v>1.000000000000002</v>
      </c>
      <c r="AD94" s="59" t="s">
        <v>4</v>
      </c>
      <c r="AE94" s="59" t="s">
        <v>4</v>
      </c>
      <c r="AF94" s="97">
        <f t="shared" si="16"/>
        <v>1</v>
      </c>
      <c r="AG94" s="44">
        <f t="shared" si="17"/>
        <v>1.0000000000000004</v>
      </c>
      <c r="AH94" s="55">
        <f t="shared" si="18"/>
        <v>0</v>
      </c>
      <c r="AI94" s="55">
        <f>COUNTIF('Score BD'!$M94:$P94,"no")</f>
        <v>0</v>
      </c>
      <c r="AJ94" s="55">
        <f t="shared" si="19"/>
        <v>0</v>
      </c>
      <c r="AK94" s="55">
        <f t="shared" si="20"/>
        <v>0</v>
      </c>
      <c r="AL94" s="55">
        <f t="shared" si="21"/>
        <v>0</v>
      </c>
      <c r="AM94" s="59" t="s">
        <v>357</v>
      </c>
      <c r="AN94" s="55"/>
      <c r="AO94" s="55"/>
      <c r="AP94" s="43"/>
      <c r="AQ94" s="59" t="str">
        <f>IFERROR(_xlfn.XLOOKUP(Tabla1[[#This Row],[Cedula agente]],Lista!$B$2:$B$97,Lista!$G$2:$G$97)," ")</f>
        <v>Luisa Fernanda Benavides Castrillon</v>
      </c>
      <c r="AR94" s="59" t="s">
        <v>162</v>
      </c>
      <c r="AS94" s="55" t="str">
        <f>IFERROR(_xlfn.XLOOKUP(Tabla1[[#This Row],[Cedula agente]],Lista!$B$2:$B$97,Lista!$F$2:$F$97)," ")</f>
        <v>John Sebastian Roncancio Avendaño</v>
      </c>
      <c r="AT94" s="99">
        <v>0.95</v>
      </c>
      <c r="AU94" s="200">
        <f>+WEEKNUM('Score BD'!$H94)-WEEKNUM(DATE(YEAR('Score BD'!$H94),MONTH('Score BD'!$H94),1))+1</f>
        <v>3</v>
      </c>
    </row>
    <row r="95" spans="1:47" ht="17.45" customHeight="1" x14ac:dyDescent="0.3">
      <c r="A95" s="49" t="str">
        <f t="shared" si="11"/>
        <v>Ministerio de Educación Nacional</v>
      </c>
      <c r="B95" s="50">
        <f>+IFERROR(COUNTIF($J$3:J95,J95)," ")</f>
        <v>5</v>
      </c>
      <c r="C95" s="54" t="str">
        <f>+'Score BD'!$J95&amp;'Score BD'!$B95</f>
        <v>Henry Eduardo Padilla Castilla5</v>
      </c>
      <c r="D95" s="91" t="s">
        <v>148</v>
      </c>
      <c r="E95" s="92" t="s">
        <v>165</v>
      </c>
      <c r="F95" s="92" t="s">
        <v>212</v>
      </c>
      <c r="G95" s="60" t="str">
        <f t="shared" si="12"/>
        <v>Noviembre</v>
      </c>
      <c r="H95" s="65">
        <v>45971</v>
      </c>
      <c r="I95" s="243">
        <v>45968</v>
      </c>
      <c r="J95" s="57" t="s">
        <v>175</v>
      </c>
      <c r="K95" s="54">
        <f>IFERROR(VLOOKUP('Score BD'!$J95,Lista!A:B,2,0)," ")</f>
        <v>1063968280</v>
      </c>
      <c r="L95" s="61" t="s">
        <v>338</v>
      </c>
      <c r="M95" s="59" t="s">
        <v>4</v>
      </c>
      <c r="N95" s="59" t="s">
        <v>4</v>
      </c>
      <c r="O95" s="59" t="s">
        <v>4</v>
      </c>
      <c r="P95" s="59" t="s">
        <v>4</v>
      </c>
      <c r="Q95" s="96">
        <f t="shared" si="13"/>
        <v>1</v>
      </c>
      <c r="R95" s="59" t="s">
        <v>4</v>
      </c>
      <c r="S95" s="59" t="s">
        <v>4</v>
      </c>
      <c r="T95" s="59" t="s">
        <v>4</v>
      </c>
      <c r="U95" s="59" t="s">
        <v>4</v>
      </c>
      <c r="V95" s="72">
        <f t="shared" si="14"/>
        <v>1</v>
      </c>
      <c r="W95" s="59" t="s">
        <v>4</v>
      </c>
      <c r="X95" s="59" t="s">
        <v>4</v>
      </c>
      <c r="Y95" s="59" t="s">
        <v>4</v>
      </c>
      <c r="Z95" s="59" t="s">
        <v>4</v>
      </c>
      <c r="AA95" s="59" t="s">
        <v>4</v>
      </c>
      <c r="AB95" s="59" t="s">
        <v>4</v>
      </c>
      <c r="AC95" s="72">
        <f t="shared" si="15"/>
        <v>1.000000000000002</v>
      </c>
      <c r="AD95" s="59" t="s">
        <v>4</v>
      </c>
      <c r="AE95" s="59" t="s">
        <v>4</v>
      </c>
      <c r="AF95" s="97">
        <f t="shared" si="16"/>
        <v>1</v>
      </c>
      <c r="AG95" s="44">
        <f t="shared" si="17"/>
        <v>1.0000000000000004</v>
      </c>
      <c r="AH95" s="55">
        <f t="shared" si="18"/>
        <v>0</v>
      </c>
      <c r="AI95" s="55">
        <f>COUNTIF('Score BD'!$M95:$P95,"no")</f>
        <v>0</v>
      </c>
      <c r="AJ95" s="55">
        <f t="shared" si="19"/>
        <v>0</v>
      </c>
      <c r="AK95" s="55">
        <f t="shared" si="20"/>
        <v>0</v>
      </c>
      <c r="AL95" s="55">
        <f t="shared" si="21"/>
        <v>0</v>
      </c>
      <c r="AM95" s="59" t="s">
        <v>357</v>
      </c>
      <c r="AN95" s="55"/>
      <c r="AO95" s="55"/>
      <c r="AP95" s="43"/>
      <c r="AQ95" s="59" t="str">
        <f>IFERROR(_xlfn.XLOOKUP(Tabla1[[#This Row],[Cedula agente]],Lista!$B$2:$B$97,Lista!$G$2:$G$97)," ")</f>
        <v>Luisa Fernanda Benavides Castrillon</v>
      </c>
      <c r="AR95" s="59" t="s">
        <v>162</v>
      </c>
      <c r="AS95" s="55" t="str">
        <f>IFERROR(_xlfn.XLOOKUP(Tabla1[[#This Row],[Cedula agente]],Lista!$B$2:$B$97,Lista!$F$2:$F$97)," ")</f>
        <v>John Sebastian Roncancio Avendaño</v>
      </c>
      <c r="AT95" s="99">
        <v>0.95</v>
      </c>
      <c r="AU95" s="200">
        <f>+WEEKNUM('Score BD'!$H95)-WEEKNUM(DATE(YEAR('Score BD'!$H95),MONTH('Score BD'!$H95),1))+1</f>
        <v>3</v>
      </c>
    </row>
    <row r="96" spans="1:47" ht="17.45" customHeight="1" x14ac:dyDescent="0.3">
      <c r="A96" s="49" t="str">
        <f t="shared" si="11"/>
        <v>Ministerio de Educación Nacional</v>
      </c>
      <c r="B96" s="50">
        <f>+IFERROR(COUNTIF($J$3:J96,J96)," ")</f>
        <v>7</v>
      </c>
      <c r="C96" s="54" t="str">
        <f>+'Score BD'!$J96&amp;'Score BD'!$B96</f>
        <v>Ingrid Carolina Monsalve Quintero7</v>
      </c>
      <c r="D96" s="91" t="s">
        <v>148</v>
      </c>
      <c r="E96" s="92" t="s">
        <v>164</v>
      </c>
      <c r="F96" s="92" t="s">
        <v>212</v>
      </c>
      <c r="G96" s="60" t="str">
        <f t="shared" si="12"/>
        <v>Noviembre</v>
      </c>
      <c r="H96" s="65">
        <v>45971</v>
      </c>
      <c r="I96" s="243">
        <v>45968</v>
      </c>
      <c r="J96" s="57" t="s">
        <v>176</v>
      </c>
      <c r="K96" s="54">
        <f>IFERROR(VLOOKUP('Score BD'!$J96,Lista!A:B,2,0)," ")</f>
        <v>52805909</v>
      </c>
      <c r="L96" s="61" t="s">
        <v>339</v>
      </c>
      <c r="M96" s="59" t="s">
        <v>4</v>
      </c>
      <c r="N96" s="59" t="s">
        <v>4</v>
      </c>
      <c r="O96" s="59" t="s">
        <v>4</v>
      </c>
      <c r="P96" s="59" t="s">
        <v>4</v>
      </c>
      <c r="Q96" s="96">
        <f t="shared" si="13"/>
        <v>1</v>
      </c>
      <c r="R96" s="59" t="s">
        <v>4</v>
      </c>
      <c r="S96" s="59" t="s">
        <v>4</v>
      </c>
      <c r="T96" s="59" t="s">
        <v>4</v>
      </c>
      <c r="U96" s="59" t="s">
        <v>4</v>
      </c>
      <c r="V96" s="72">
        <f t="shared" si="14"/>
        <v>1</v>
      </c>
      <c r="W96" s="59" t="s">
        <v>4</v>
      </c>
      <c r="X96" s="59" t="s">
        <v>4</v>
      </c>
      <c r="Y96" s="59" t="s">
        <v>4</v>
      </c>
      <c r="Z96" s="59" t="s">
        <v>4</v>
      </c>
      <c r="AA96" s="59" t="s">
        <v>4</v>
      </c>
      <c r="AB96" s="59" t="s">
        <v>4</v>
      </c>
      <c r="AC96" s="72">
        <f t="shared" si="15"/>
        <v>1.000000000000002</v>
      </c>
      <c r="AD96" s="59" t="s">
        <v>4</v>
      </c>
      <c r="AE96" s="59" t="s">
        <v>4</v>
      </c>
      <c r="AF96" s="97">
        <f t="shared" si="16"/>
        <v>1</v>
      </c>
      <c r="AG96" s="44">
        <f t="shared" si="17"/>
        <v>1.0000000000000004</v>
      </c>
      <c r="AH96" s="55">
        <f t="shared" si="18"/>
        <v>0</v>
      </c>
      <c r="AI96" s="55">
        <f>COUNTIF('Score BD'!$M96:$P96,"no")</f>
        <v>0</v>
      </c>
      <c r="AJ96" s="55">
        <f t="shared" si="19"/>
        <v>0</v>
      </c>
      <c r="AK96" s="55">
        <f t="shared" si="20"/>
        <v>0</v>
      </c>
      <c r="AL96" s="55">
        <f t="shared" si="21"/>
        <v>0</v>
      </c>
      <c r="AM96" s="59" t="s">
        <v>357</v>
      </c>
      <c r="AN96" s="55"/>
      <c r="AO96" s="55"/>
      <c r="AP96" s="43"/>
      <c r="AQ96" s="59" t="str">
        <f>IFERROR(_xlfn.XLOOKUP(Tabla1[[#This Row],[Cedula agente]],Lista!$B$2:$B$97,Lista!$G$2:$G$97)," ")</f>
        <v>Luisa Fernanda Benavides Castrillon</v>
      </c>
      <c r="AR96" s="59" t="s">
        <v>162</v>
      </c>
      <c r="AS96" s="55" t="str">
        <f>IFERROR(_xlfn.XLOOKUP(Tabla1[[#This Row],[Cedula agente]],Lista!$B$2:$B$97,Lista!$F$2:$F$97)," ")</f>
        <v>John Sebastian Roncancio Avendaño</v>
      </c>
      <c r="AT96" s="99">
        <v>0.95</v>
      </c>
      <c r="AU96" s="200">
        <f>+WEEKNUM('Score BD'!$H96)-WEEKNUM(DATE(YEAR('Score BD'!$H96),MONTH('Score BD'!$H96),1))+1</f>
        <v>3</v>
      </c>
    </row>
    <row r="97" spans="1:47" ht="17.45" customHeight="1" x14ac:dyDescent="0.3">
      <c r="A97" s="49" t="str">
        <f t="shared" si="11"/>
        <v>Ministerio de Educación Nacional</v>
      </c>
      <c r="B97" s="50">
        <f>+IFERROR(COUNTIF($J$3:J97,J97)," ")</f>
        <v>8</v>
      </c>
      <c r="C97" s="54" t="str">
        <f>+'Score BD'!$J97&amp;'Score BD'!$B97</f>
        <v>Ingrid Carolina Monsalve Quintero8</v>
      </c>
      <c r="D97" s="91" t="s">
        <v>148</v>
      </c>
      <c r="E97" s="92" t="s">
        <v>164</v>
      </c>
      <c r="F97" s="92" t="s">
        <v>212</v>
      </c>
      <c r="G97" s="60" t="str">
        <f t="shared" si="12"/>
        <v>Noviembre</v>
      </c>
      <c r="H97" s="65">
        <v>45971</v>
      </c>
      <c r="I97" s="243">
        <v>45968</v>
      </c>
      <c r="J97" s="57" t="s">
        <v>176</v>
      </c>
      <c r="K97" s="54">
        <f>IFERROR(VLOOKUP('Score BD'!$J97,Lista!A:B,2,0)," ")</f>
        <v>52805909</v>
      </c>
      <c r="L97" s="61" t="s">
        <v>340</v>
      </c>
      <c r="M97" s="59" t="s">
        <v>4</v>
      </c>
      <c r="N97" s="59" t="s">
        <v>4</v>
      </c>
      <c r="O97" s="59" t="s">
        <v>4</v>
      </c>
      <c r="P97" s="59" t="s">
        <v>4</v>
      </c>
      <c r="Q97" s="96">
        <f t="shared" si="13"/>
        <v>1</v>
      </c>
      <c r="R97" s="59" t="s">
        <v>4</v>
      </c>
      <c r="S97" s="59" t="s">
        <v>4</v>
      </c>
      <c r="T97" s="59" t="s">
        <v>4</v>
      </c>
      <c r="U97" s="59" t="s">
        <v>4</v>
      </c>
      <c r="V97" s="72">
        <f t="shared" si="14"/>
        <v>1</v>
      </c>
      <c r="W97" s="59" t="s">
        <v>4</v>
      </c>
      <c r="X97" s="59" t="s">
        <v>4</v>
      </c>
      <c r="Y97" s="59" t="s">
        <v>4</v>
      </c>
      <c r="Z97" s="59" t="s">
        <v>4</v>
      </c>
      <c r="AA97" s="59" t="s">
        <v>4</v>
      </c>
      <c r="AB97" s="59" t="s">
        <v>4</v>
      </c>
      <c r="AC97" s="72">
        <f t="shared" si="15"/>
        <v>1.000000000000002</v>
      </c>
      <c r="AD97" s="59" t="s">
        <v>4</v>
      </c>
      <c r="AE97" s="59" t="s">
        <v>4</v>
      </c>
      <c r="AF97" s="97">
        <f t="shared" si="16"/>
        <v>1</v>
      </c>
      <c r="AG97" s="44">
        <f t="shared" si="17"/>
        <v>1.0000000000000004</v>
      </c>
      <c r="AH97" s="55">
        <f t="shared" si="18"/>
        <v>0</v>
      </c>
      <c r="AI97" s="55">
        <f>COUNTIF('Score BD'!$M97:$P97,"no")</f>
        <v>0</v>
      </c>
      <c r="AJ97" s="55">
        <f t="shared" si="19"/>
        <v>0</v>
      </c>
      <c r="AK97" s="55">
        <f t="shared" si="20"/>
        <v>0</v>
      </c>
      <c r="AL97" s="55">
        <f t="shared" si="21"/>
        <v>0</v>
      </c>
      <c r="AM97" s="59" t="s">
        <v>357</v>
      </c>
      <c r="AN97" s="55"/>
      <c r="AO97" s="55"/>
      <c r="AP97" s="43"/>
      <c r="AQ97" s="59" t="str">
        <f>IFERROR(_xlfn.XLOOKUP(Tabla1[[#This Row],[Cedula agente]],Lista!$B$2:$B$97,Lista!$G$2:$G$97)," ")</f>
        <v>Luisa Fernanda Benavides Castrillon</v>
      </c>
      <c r="AR97" s="59" t="s">
        <v>162</v>
      </c>
      <c r="AS97" s="55" t="str">
        <f>IFERROR(_xlfn.XLOOKUP(Tabla1[[#This Row],[Cedula agente]],Lista!$B$2:$B$97,Lista!$F$2:$F$97)," ")</f>
        <v>John Sebastian Roncancio Avendaño</v>
      </c>
      <c r="AT97" s="99">
        <v>0.95</v>
      </c>
      <c r="AU97" s="200">
        <f>+WEEKNUM('Score BD'!$H97)-WEEKNUM(DATE(YEAR('Score BD'!$H97),MONTH('Score BD'!$H97),1))+1</f>
        <v>3</v>
      </c>
    </row>
    <row r="98" spans="1:47" ht="17.45" customHeight="1" x14ac:dyDescent="0.3">
      <c r="A98" s="49" t="str">
        <f t="shared" si="11"/>
        <v>Ministerio de Educación Nacional</v>
      </c>
      <c r="B98" s="50">
        <f>+IFERROR(COUNTIF($J$3:J98,J98)," ")</f>
        <v>7</v>
      </c>
      <c r="C98" s="54" t="str">
        <f>+'Score BD'!$J98&amp;'Score BD'!$B98</f>
        <v>Juan Jose Santoya Medina7</v>
      </c>
      <c r="D98" s="91" t="s">
        <v>148</v>
      </c>
      <c r="E98" s="92" t="s">
        <v>165</v>
      </c>
      <c r="F98" s="92" t="s">
        <v>212</v>
      </c>
      <c r="G98" s="60" t="str">
        <f t="shared" si="12"/>
        <v>Noviembre</v>
      </c>
      <c r="H98" s="65">
        <v>45971</v>
      </c>
      <c r="I98" s="243">
        <v>45968</v>
      </c>
      <c r="J98" s="57" t="s">
        <v>178</v>
      </c>
      <c r="K98" s="54">
        <f>IFERROR(VLOOKUP('Score BD'!$J98,Lista!A:B,2,0)," ")</f>
        <v>1053345183</v>
      </c>
      <c r="L98" s="61" t="s">
        <v>341</v>
      </c>
      <c r="M98" s="59" t="s">
        <v>4</v>
      </c>
      <c r="N98" s="59" t="s">
        <v>4</v>
      </c>
      <c r="O98" s="59" t="s">
        <v>4</v>
      </c>
      <c r="P98" s="59" t="s">
        <v>4</v>
      </c>
      <c r="Q98" s="96">
        <f t="shared" si="13"/>
        <v>1</v>
      </c>
      <c r="R98" s="59" t="s">
        <v>4</v>
      </c>
      <c r="S98" s="59" t="s">
        <v>4</v>
      </c>
      <c r="T98" s="59" t="s">
        <v>4</v>
      </c>
      <c r="U98" s="59" t="s">
        <v>4</v>
      </c>
      <c r="V98" s="72">
        <f t="shared" si="14"/>
        <v>1</v>
      </c>
      <c r="W98" s="59" t="s">
        <v>4</v>
      </c>
      <c r="X98" s="59" t="s">
        <v>4</v>
      </c>
      <c r="Y98" s="59" t="s">
        <v>4</v>
      </c>
      <c r="Z98" s="59" t="s">
        <v>4</v>
      </c>
      <c r="AA98" s="59" t="s">
        <v>4</v>
      </c>
      <c r="AB98" s="59" t="s">
        <v>4</v>
      </c>
      <c r="AC98" s="72">
        <f t="shared" si="15"/>
        <v>1.000000000000002</v>
      </c>
      <c r="AD98" s="59" t="s">
        <v>4</v>
      </c>
      <c r="AE98" s="59" t="s">
        <v>4</v>
      </c>
      <c r="AF98" s="97">
        <f t="shared" si="16"/>
        <v>1</v>
      </c>
      <c r="AG98" s="44">
        <f t="shared" si="17"/>
        <v>1.0000000000000004</v>
      </c>
      <c r="AH98" s="55">
        <f t="shared" si="18"/>
        <v>0</v>
      </c>
      <c r="AI98" s="55">
        <f>COUNTIF('Score BD'!$M98:$P98,"no")</f>
        <v>0</v>
      </c>
      <c r="AJ98" s="55">
        <f t="shared" si="19"/>
        <v>0</v>
      </c>
      <c r="AK98" s="55">
        <f t="shared" si="20"/>
        <v>0</v>
      </c>
      <c r="AL98" s="55">
        <f t="shared" si="21"/>
        <v>0</v>
      </c>
      <c r="AM98" s="59" t="s">
        <v>357</v>
      </c>
      <c r="AN98" s="55"/>
      <c r="AO98" s="55"/>
      <c r="AP98" s="43"/>
      <c r="AQ98" s="59" t="str">
        <f>IFERROR(_xlfn.XLOOKUP(Tabla1[[#This Row],[Cedula agente]],Lista!$B$2:$B$97,Lista!$G$2:$G$97)," ")</f>
        <v>Luisa Fernanda Benavides Castrillon</v>
      </c>
      <c r="AR98" s="59" t="s">
        <v>162</v>
      </c>
      <c r="AS98" s="55" t="str">
        <f>IFERROR(_xlfn.XLOOKUP(Tabla1[[#This Row],[Cedula agente]],Lista!$B$2:$B$97,Lista!$F$2:$F$97)," ")</f>
        <v>John Sebastian Roncancio Avendaño</v>
      </c>
      <c r="AT98" s="99">
        <v>0.95</v>
      </c>
      <c r="AU98" s="200">
        <f>+WEEKNUM('Score BD'!$H98)-WEEKNUM(DATE(YEAR('Score BD'!$H98),MONTH('Score BD'!$H98),1))+1</f>
        <v>3</v>
      </c>
    </row>
    <row r="99" spans="1:47" ht="17.45" customHeight="1" x14ac:dyDescent="0.3">
      <c r="A99" s="49" t="str">
        <f t="shared" si="11"/>
        <v>Ministerio de Educación Nacional</v>
      </c>
      <c r="B99" s="50">
        <f>+IFERROR(COUNTIF($J$3:J99,J99)," ")</f>
        <v>4</v>
      </c>
      <c r="C99" s="54" t="str">
        <f>+'Score BD'!$J99&amp;'Score BD'!$B99</f>
        <v>Juan Sebastián Suárez Morales4</v>
      </c>
      <c r="D99" s="91" t="s">
        <v>148</v>
      </c>
      <c r="E99" s="92" t="s">
        <v>165</v>
      </c>
      <c r="F99" s="92" t="s">
        <v>212</v>
      </c>
      <c r="G99" s="60" t="str">
        <f t="shared" si="12"/>
        <v>Noviembre</v>
      </c>
      <c r="H99" s="65">
        <v>45971</v>
      </c>
      <c r="I99" s="243">
        <v>45968</v>
      </c>
      <c r="J99" s="57" t="s">
        <v>179</v>
      </c>
      <c r="K99" s="54">
        <f>IFERROR(VLOOKUP('Score BD'!$J99,Lista!A:B,2,0)," ")</f>
        <v>1030541070</v>
      </c>
      <c r="L99" s="61" t="s">
        <v>342</v>
      </c>
      <c r="M99" s="59" t="s">
        <v>4</v>
      </c>
      <c r="N99" s="59" t="s">
        <v>4</v>
      </c>
      <c r="O99" s="59" t="s">
        <v>4</v>
      </c>
      <c r="P99" s="59" t="s">
        <v>4</v>
      </c>
      <c r="Q99" s="96">
        <f t="shared" si="13"/>
        <v>1</v>
      </c>
      <c r="R99" s="59" t="s">
        <v>4</v>
      </c>
      <c r="S99" s="59" t="s">
        <v>4</v>
      </c>
      <c r="T99" s="59" t="s">
        <v>4</v>
      </c>
      <c r="U99" s="59" t="s">
        <v>4</v>
      </c>
      <c r="V99" s="72">
        <f t="shared" si="14"/>
        <v>1</v>
      </c>
      <c r="W99" s="59" t="s">
        <v>4</v>
      </c>
      <c r="X99" s="59" t="s">
        <v>4</v>
      </c>
      <c r="Y99" s="59" t="s">
        <v>4</v>
      </c>
      <c r="Z99" s="59" t="s">
        <v>4</v>
      </c>
      <c r="AA99" s="59" t="s">
        <v>4</v>
      </c>
      <c r="AB99" s="59" t="s">
        <v>4</v>
      </c>
      <c r="AC99" s="72">
        <f t="shared" si="15"/>
        <v>1.000000000000002</v>
      </c>
      <c r="AD99" s="59" t="s">
        <v>4</v>
      </c>
      <c r="AE99" s="59" t="s">
        <v>4</v>
      </c>
      <c r="AF99" s="97">
        <f t="shared" si="16"/>
        <v>1</v>
      </c>
      <c r="AG99" s="44">
        <f t="shared" si="17"/>
        <v>1.0000000000000004</v>
      </c>
      <c r="AH99" s="55">
        <f t="shared" si="18"/>
        <v>0</v>
      </c>
      <c r="AI99" s="55">
        <f>COUNTIF('Score BD'!$M99:$P99,"no")</f>
        <v>0</v>
      </c>
      <c r="AJ99" s="55">
        <f t="shared" si="19"/>
        <v>0</v>
      </c>
      <c r="AK99" s="55">
        <f t="shared" si="20"/>
        <v>0</v>
      </c>
      <c r="AL99" s="55">
        <f t="shared" si="21"/>
        <v>0</v>
      </c>
      <c r="AM99" s="59" t="s">
        <v>357</v>
      </c>
      <c r="AN99" s="55"/>
      <c r="AO99" s="55"/>
      <c r="AP99" s="43"/>
      <c r="AQ99" s="59" t="str">
        <f>IFERROR(_xlfn.XLOOKUP(Tabla1[[#This Row],[Cedula agente]],Lista!$B$2:$B$97,Lista!$G$2:$G$97)," ")</f>
        <v>Luisa Fernanda Benavides Castrillon</v>
      </c>
      <c r="AR99" s="59" t="s">
        <v>162</v>
      </c>
      <c r="AS99" s="55" t="str">
        <f>IFERROR(_xlfn.XLOOKUP(Tabla1[[#This Row],[Cedula agente]],Lista!$B$2:$B$97,Lista!$F$2:$F$97)," ")</f>
        <v>John Sebastian Roncancio Avendaño</v>
      </c>
      <c r="AT99" s="99">
        <v>0.95</v>
      </c>
      <c r="AU99" s="200">
        <f>+WEEKNUM('Score BD'!$H99)-WEEKNUM(DATE(YEAR('Score BD'!$H99),MONTH('Score BD'!$H99),1))+1</f>
        <v>3</v>
      </c>
    </row>
    <row r="100" spans="1:47" ht="17.45" customHeight="1" x14ac:dyDescent="0.3">
      <c r="A100" s="49" t="str">
        <f t="shared" si="11"/>
        <v>Ministerio de Educación Nacional</v>
      </c>
      <c r="B100" s="50">
        <f>+IFERROR(COUNTIF($J$3:J100,J100)," ")</f>
        <v>5</v>
      </c>
      <c r="C100" s="54" t="str">
        <f>+'Score BD'!$J100&amp;'Score BD'!$B100</f>
        <v>Juan Sebastián Suárez Morales5</v>
      </c>
      <c r="D100" s="91" t="s">
        <v>148</v>
      </c>
      <c r="E100" s="92" t="s">
        <v>165</v>
      </c>
      <c r="F100" s="92" t="s">
        <v>212</v>
      </c>
      <c r="G100" s="60" t="str">
        <f t="shared" si="12"/>
        <v>Noviembre</v>
      </c>
      <c r="H100" s="65">
        <v>45971</v>
      </c>
      <c r="I100" s="243">
        <v>45968</v>
      </c>
      <c r="J100" s="57" t="s">
        <v>179</v>
      </c>
      <c r="K100" s="54">
        <f>IFERROR(VLOOKUP('Score BD'!$J100,Lista!A:B,2,0)," ")</f>
        <v>1030541070</v>
      </c>
      <c r="L100" s="61" t="s">
        <v>343</v>
      </c>
      <c r="M100" s="59" t="s">
        <v>4</v>
      </c>
      <c r="N100" s="59" t="s">
        <v>4</v>
      </c>
      <c r="O100" s="59" t="s">
        <v>4</v>
      </c>
      <c r="P100" s="59" t="s">
        <v>4</v>
      </c>
      <c r="Q100" s="96">
        <f t="shared" si="13"/>
        <v>1</v>
      </c>
      <c r="R100" s="59" t="s">
        <v>4</v>
      </c>
      <c r="S100" s="59" t="s">
        <v>4</v>
      </c>
      <c r="T100" s="59" t="s">
        <v>4</v>
      </c>
      <c r="U100" s="59" t="s">
        <v>4</v>
      </c>
      <c r="V100" s="72">
        <f t="shared" si="14"/>
        <v>1</v>
      </c>
      <c r="W100" s="59" t="s">
        <v>4</v>
      </c>
      <c r="X100" s="59" t="s">
        <v>4</v>
      </c>
      <c r="Y100" s="59" t="s">
        <v>4</v>
      </c>
      <c r="Z100" s="59" t="s">
        <v>4</v>
      </c>
      <c r="AA100" s="59" t="s">
        <v>4</v>
      </c>
      <c r="AB100" s="59" t="s">
        <v>4</v>
      </c>
      <c r="AC100" s="72">
        <f t="shared" si="15"/>
        <v>1.000000000000002</v>
      </c>
      <c r="AD100" s="59" t="s">
        <v>4</v>
      </c>
      <c r="AE100" s="59" t="s">
        <v>4</v>
      </c>
      <c r="AF100" s="97">
        <f t="shared" si="16"/>
        <v>1</v>
      </c>
      <c r="AG100" s="44">
        <f t="shared" si="17"/>
        <v>1.0000000000000004</v>
      </c>
      <c r="AH100" s="55">
        <f t="shared" si="18"/>
        <v>0</v>
      </c>
      <c r="AI100" s="55">
        <f>COUNTIF('Score BD'!$M100:$P100,"no")</f>
        <v>0</v>
      </c>
      <c r="AJ100" s="55">
        <f t="shared" si="19"/>
        <v>0</v>
      </c>
      <c r="AK100" s="55">
        <f t="shared" si="20"/>
        <v>0</v>
      </c>
      <c r="AL100" s="55">
        <f t="shared" si="21"/>
        <v>0</v>
      </c>
      <c r="AM100" s="59" t="s">
        <v>357</v>
      </c>
      <c r="AN100" s="55"/>
      <c r="AO100" s="55"/>
      <c r="AP100" s="43"/>
      <c r="AQ100" s="59" t="str">
        <f>IFERROR(_xlfn.XLOOKUP(Tabla1[[#This Row],[Cedula agente]],Lista!$B$2:$B$97,Lista!$G$2:$G$97)," ")</f>
        <v>Luisa Fernanda Benavides Castrillon</v>
      </c>
      <c r="AR100" s="59" t="s">
        <v>162</v>
      </c>
      <c r="AS100" s="55" t="str">
        <f>IFERROR(_xlfn.XLOOKUP(Tabla1[[#This Row],[Cedula agente]],Lista!$B$2:$B$97,Lista!$F$2:$F$97)," ")</f>
        <v>John Sebastian Roncancio Avendaño</v>
      </c>
      <c r="AT100" s="99">
        <v>0.95</v>
      </c>
      <c r="AU100" s="200">
        <f>+WEEKNUM('Score BD'!$H100)-WEEKNUM(DATE(YEAR('Score BD'!$H100),MONTH('Score BD'!$H100),1))+1</f>
        <v>3</v>
      </c>
    </row>
    <row r="101" spans="1:47" ht="17.45" customHeight="1" x14ac:dyDescent="0.3">
      <c r="A101" s="49" t="str">
        <f t="shared" si="11"/>
        <v>Ministerio de Educación Nacional</v>
      </c>
      <c r="B101" s="50">
        <f>+IFERROR(COUNTIF($J$3:J101,J101)," ")</f>
        <v>4</v>
      </c>
      <c r="C101" s="54" t="str">
        <f>+'Score BD'!$J101&amp;'Score BD'!$B101</f>
        <v>Laura Juliana Rueda Durán4</v>
      </c>
      <c r="D101" s="91" t="s">
        <v>148</v>
      </c>
      <c r="E101" s="92" t="s">
        <v>165</v>
      </c>
      <c r="F101" s="92" t="s">
        <v>212</v>
      </c>
      <c r="G101" s="60" t="str">
        <f t="shared" si="12"/>
        <v>Noviembre</v>
      </c>
      <c r="H101" s="65">
        <v>45971</v>
      </c>
      <c r="I101" s="243">
        <v>45968</v>
      </c>
      <c r="J101" s="57" t="s">
        <v>180</v>
      </c>
      <c r="K101" s="54">
        <f>IFERROR(VLOOKUP('Score BD'!$J101,Lista!A:B,2,0)," ")</f>
        <v>1026291591</v>
      </c>
      <c r="L101" s="61" t="s">
        <v>344</v>
      </c>
      <c r="M101" s="59" t="s">
        <v>4</v>
      </c>
      <c r="N101" s="59" t="s">
        <v>4</v>
      </c>
      <c r="O101" s="59" t="s">
        <v>4</v>
      </c>
      <c r="P101" s="59" t="s">
        <v>4</v>
      </c>
      <c r="Q101" s="96">
        <f t="shared" si="13"/>
        <v>1</v>
      </c>
      <c r="R101" s="59" t="s">
        <v>4</v>
      </c>
      <c r="S101" s="59" t="s">
        <v>4</v>
      </c>
      <c r="T101" s="59" t="s">
        <v>4</v>
      </c>
      <c r="U101" s="59" t="s">
        <v>4</v>
      </c>
      <c r="V101" s="72">
        <f t="shared" si="14"/>
        <v>1</v>
      </c>
      <c r="W101" s="59" t="s">
        <v>4</v>
      </c>
      <c r="X101" s="59" t="s">
        <v>4</v>
      </c>
      <c r="Y101" s="59" t="s">
        <v>4</v>
      </c>
      <c r="Z101" s="59" t="s">
        <v>4</v>
      </c>
      <c r="AA101" s="59" t="s">
        <v>4</v>
      </c>
      <c r="AB101" s="59" t="s">
        <v>4</v>
      </c>
      <c r="AC101" s="72">
        <f t="shared" si="15"/>
        <v>1.000000000000002</v>
      </c>
      <c r="AD101" s="59" t="s">
        <v>4</v>
      </c>
      <c r="AE101" s="59" t="s">
        <v>4</v>
      </c>
      <c r="AF101" s="97">
        <f t="shared" si="16"/>
        <v>1</v>
      </c>
      <c r="AG101" s="44">
        <f t="shared" si="17"/>
        <v>1.0000000000000004</v>
      </c>
      <c r="AH101" s="55">
        <f t="shared" si="18"/>
        <v>0</v>
      </c>
      <c r="AI101" s="55">
        <f>COUNTIF('Score BD'!$M101:$P101,"no")</f>
        <v>0</v>
      </c>
      <c r="AJ101" s="55">
        <f t="shared" si="19"/>
        <v>0</v>
      </c>
      <c r="AK101" s="55">
        <f t="shared" si="20"/>
        <v>0</v>
      </c>
      <c r="AL101" s="55">
        <f t="shared" si="21"/>
        <v>0</v>
      </c>
      <c r="AM101" s="59" t="s">
        <v>357</v>
      </c>
      <c r="AN101" s="55"/>
      <c r="AO101" s="55"/>
      <c r="AP101" s="43"/>
      <c r="AQ101" s="59" t="str">
        <f>IFERROR(_xlfn.XLOOKUP(Tabla1[[#This Row],[Cedula agente]],Lista!$B$2:$B$97,Lista!$G$2:$G$97)," ")</f>
        <v>Luisa Fernanda Benavides Castrillon</v>
      </c>
      <c r="AR101" s="59" t="s">
        <v>162</v>
      </c>
      <c r="AS101" s="55" t="str">
        <f>IFERROR(_xlfn.XLOOKUP(Tabla1[[#This Row],[Cedula agente]],Lista!$B$2:$B$97,Lista!$F$2:$F$97)," ")</f>
        <v>John Sebastian Roncancio Avendaño</v>
      </c>
      <c r="AT101" s="99">
        <v>0.95</v>
      </c>
      <c r="AU101" s="200">
        <f>+WEEKNUM('Score BD'!$H101)-WEEKNUM(DATE(YEAR('Score BD'!$H101),MONTH('Score BD'!$H101),1))+1</f>
        <v>3</v>
      </c>
    </row>
    <row r="102" spans="1:47" ht="17.45" customHeight="1" x14ac:dyDescent="0.3">
      <c r="A102" s="49" t="str">
        <f t="shared" si="11"/>
        <v>Ministerio de Educación Nacional</v>
      </c>
      <c r="B102" s="50">
        <f>+IFERROR(COUNTIF($J$3:J102,J102)," ")</f>
        <v>4</v>
      </c>
      <c r="C102" s="54" t="str">
        <f>+'Score BD'!$J102&amp;'Score BD'!$B102</f>
        <v>Laura Ximena Sandoval Galindo4</v>
      </c>
      <c r="D102" s="91" t="s">
        <v>148</v>
      </c>
      <c r="E102" s="92" t="s">
        <v>208</v>
      </c>
      <c r="F102" s="92" t="s">
        <v>212</v>
      </c>
      <c r="G102" s="60" t="str">
        <f t="shared" si="12"/>
        <v>Noviembre</v>
      </c>
      <c r="H102" s="65">
        <v>45971</v>
      </c>
      <c r="I102" s="243">
        <v>45968</v>
      </c>
      <c r="J102" s="57" t="s">
        <v>201</v>
      </c>
      <c r="K102" s="54">
        <f>IFERROR(VLOOKUP('Score BD'!$J102,Lista!A:B,2,0)," ")</f>
        <v>1030678660</v>
      </c>
      <c r="L102" s="61" t="s">
        <v>345</v>
      </c>
      <c r="M102" s="59" t="s">
        <v>4</v>
      </c>
      <c r="N102" s="59" t="s">
        <v>4</v>
      </c>
      <c r="O102" s="59" t="s">
        <v>4</v>
      </c>
      <c r="P102" s="59" t="s">
        <v>4</v>
      </c>
      <c r="Q102" s="96">
        <f t="shared" si="13"/>
        <v>1</v>
      </c>
      <c r="R102" s="59" t="s">
        <v>4</v>
      </c>
      <c r="S102" s="59" t="s">
        <v>4</v>
      </c>
      <c r="T102" s="59" t="s">
        <v>4</v>
      </c>
      <c r="U102" s="59" t="s">
        <v>4</v>
      </c>
      <c r="V102" s="72">
        <f t="shared" si="14"/>
        <v>1</v>
      </c>
      <c r="W102" s="59" t="s">
        <v>4</v>
      </c>
      <c r="X102" s="59" t="s">
        <v>4</v>
      </c>
      <c r="Y102" s="59" t="s">
        <v>4</v>
      </c>
      <c r="Z102" s="59" t="s">
        <v>4</v>
      </c>
      <c r="AA102" s="59" t="s">
        <v>4</v>
      </c>
      <c r="AB102" s="59" t="s">
        <v>4</v>
      </c>
      <c r="AC102" s="72">
        <f t="shared" si="15"/>
        <v>1.000000000000002</v>
      </c>
      <c r="AD102" s="59" t="s">
        <v>4</v>
      </c>
      <c r="AE102" s="59" t="s">
        <v>4</v>
      </c>
      <c r="AF102" s="97">
        <f t="shared" si="16"/>
        <v>1</v>
      </c>
      <c r="AG102" s="44">
        <f t="shared" si="17"/>
        <v>1.0000000000000004</v>
      </c>
      <c r="AH102" s="55">
        <f t="shared" si="18"/>
        <v>0</v>
      </c>
      <c r="AI102" s="55">
        <f>COUNTIF('Score BD'!$M102:$P102,"no")</f>
        <v>0</v>
      </c>
      <c r="AJ102" s="55">
        <f t="shared" si="19"/>
        <v>0</v>
      </c>
      <c r="AK102" s="55">
        <f t="shared" si="20"/>
        <v>0</v>
      </c>
      <c r="AL102" s="55">
        <f t="shared" si="21"/>
        <v>0</v>
      </c>
      <c r="AM102" s="59" t="s">
        <v>357</v>
      </c>
      <c r="AN102" s="55"/>
      <c r="AO102" s="55"/>
      <c r="AP102" s="43"/>
      <c r="AQ102" s="59" t="str">
        <f>IFERROR(_xlfn.XLOOKUP(Tabla1[[#This Row],[Cedula agente]],Lista!$B$2:$B$97,Lista!$G$2:$G$97)," ")</f>
        <v>Luisa Fernanda Benavides Castrillon</v>
      </c>
      <c r="AR102" s="59" t="s">
        <v>162</v>
      </c>
      <c r="AS102" s="55" t="str">
        <f>IFERROR(_xlfn.XLOOKUP(Tabla1[[#This Row],[Cedula agente]],Lista!$B$2:$B$97,Lista!$F$2:$F$97)," ")</f>
        <v>John Sebastian Roncancio Avendaño</v>
      </c>
      <c r="AT102" s="99">
        <v>0.95</v>
      </c>
      <c r="AU102" s="200">
        <f>+WEEKNUM('Score BD'!$H102)-WEEKNUM(DATE(YEAR('Score BD'!$H102),MONTH('Score BD'!$H102),1))+1</f>
        <v>3</v>
      </c>
    </row>
    <row r="103" spans="1:47" ht="17.45" customHeight="1" x14ac:dyDescent="0.3">
      <c r="A103" s="49" t="str">
        <f t="shared" si="11"/>
        <v>Ministerio de Educación Nacional</v>
      </c>
      <c r="B103" s="50">
        <f>+IFERROR(COUNTIF($J$3:J103,J103)," ")</f>
        <v>7</v>
      </c>
      <c r="C103" s="54" t="str">
        <f>+'Score BD'!$J103&amp;'Score BD'!$B103</f>
        <v>Maira Alejandra Rodriguez Losada7</v>
      </c>
      <c r="D103" s="91" t="s">
        <v>148</v>
      </c>
      <c r="E103" s="92" t="s">
        <v>164</v>
      </c>
      <c r="F103" s="92" t="s">
        <v>212</v>
      </c>
      <c r="G103" s="60" t="str">
        <f t="shared" si="12"/>
        <v>Noviembre</v>
      </c>
      <c r="H103" s="65">
        <v>45971</v>
      </c>
      <c r="I103" s="243">
        <v>45968</v>
      </c>
      <c r="J103" s="57" t="s">
        <v>204</v>
      </c>
      <c r="K103" s="54">
        <f>IFERROR(VLOOKUP('Score BD'!$J103,Lista!A:B,2,0)," ")</f>
        <v>1075224344</v>
      </c>
      <c r="L103" s="61" t="s">
        <v>346</v>
      </c>
      <c r="M103" s="59" t="s">
        <v>4</v>
      </c>
      <c r="N103" s="59" t="s">
        <v>4</v>
      </c>
      <c r="O103" s="59" t="s">
        <v>4</v>
      </c>
      <c r="P103" s="59" t="s">
        <v>4</v>
      </c>
      <c r="Q103" s="96">
        <f t="shared" si="13"/>
        <v>1</v>
      </c>
      <c r="R103" s="59" t="s">
        <v>4</v>
      </c>
      <c r="S103" s="59" t="s">
        <v>4</v>
      </c>
      <c r="T103" s="59" t="s">
        <v>4</v>
      </c>
      <c r="U103" s="59" t="s">
        <v>4</v>
      </c>
      <c r="V103" s="72">
        <f t="shared" si="14"/>
        <v>1</v>
      </c>
      <c r="W103" s="59" t="s">
        <v>4</v>
      </c>
      <c r="X103" s="59" t="s">
        <v>4</v>
      </c>
      <c r="Y103" s="59" t="s">
        <v>4</v>
      </c>
      <c r="Z103" s="59" t="s">
        <v>4</v>
      </c>
      <c r="AA103" s="59" t="s">
        <v>4</v>
      </c>
      <c r="AB103" s="59" t="s">
        <v>4</v>
      </c>
      <c r="AC103" s="72">
        <f t="shared" si="15"/>
        <v>1.000000000000002</v>
      </c>
      <c r="AD103" s="59" t="s">
        <v>4</v>
      </c>
      <c r="AE103" s="59" t="s">
        <v>4</v>
      </c>
      <c r="AF103" s="97">
        <f t="shared" si="16"/>
        <v>1</v>
      </c>
      <c r="AG103" s="44">
        <f t="shared" si="17"/>
        <v>1.0000000000000004</v>
      </c>
      <c r="AH103" s="55">
        <f t="shared" si="18"/>
        <v>0</v>
      </c>
      <c r="AI103" s="55">
        <f>COUNTIF('Score BD'!$M103:$P103,"no")</f>
        <v>0</v>
      </c>
      <c r="AJ103" s="55">
        <f t="shared" si="19"/>
        <v>0</v>
      </c>
      <c r="AK103" s="55">
        <f t="shared" si="20"/>
        <v>0</v>
      </c>
      <c r="AL103" s="55">
        <f t="shared" si="21"/>
        <v>0</v>
      </c>
      <c r="AM103" s="59" t="s">
        <v>357</v>
      </c>
      <c r="AN103" s="55"/>
      <c r="AO103" s="55"/>
      <c r="AP103" s="43"/>
      <c r="AQ103" s="59" t="str">
        <f>IFERROR(_xlfn.XLOOKUP(Tabla1[[#This Row],[Cedula agente]],Lista!$B$2:$B$97,Lista!$G$2:$G$97)," ")</f>
        <v>Luisa Fernanda Benavides Castrillon</v>
      </c>
      <c r="AR103" s="59" t="s">
        <v>162</v>
      </c>
      <c r="AS103" s="55" t="str">
        <f>IFERROR(_xlfn.XLOOKUP(Tabla1[[#This Row],[Cedula agente]],Lista!$B$2:$B$97,Lista!$F$2:$F$97)," ")</f>
        <v>John Sebastian Roncancio Avendaño</v>
      </c>
      <c r="AT103" s="99">
        <v>0.95</v>
      </c>
      <c r="AU103" s="200">
        <f>+WEEKNUM('Score BD'!$H103)-WEEKNUM(DATE(YEAR('Score BD'!$H103),MONTH('Score BD'!$H103),1))+1</f>
        <v>3</v>
      </c>
    </row>
    <row r="104" spans="1:47" ht="17.45" customHeight="1" x14ac:dyDescent="0.3">
      <c r="A104" s="49" t="str">
        <f t="shared" si="11"/>
        <v>Ministerio de Educación Nacional</v>
      </c>
      <c r="B104" s="50">
        <f>+IFERROR(COUNTIF($J$3:J104,J104)," ")</f>
        <v>8</v>
      </c>
      <c r="C104" s="54" t="str">
        <f>+'Score BD'!$J104&amp;'Score BD'!$B104</f>
        <v>Maira Alejandra Rodriguez Losada8</v>
      </c>
      <c r="D104" s="91" t="s">
        <v>148</v>
      </c>
      <c r="E104" s="92" t="s">
        <v>164</v>
      </c>
      <c r="F104" s="92" t="s">
        <v>212</v>
      </c>
      <c r="G104" s="60" t="str">
        <f t="shared" si="12"/>
        <v>Noviembre</v>
      </c>
      <c r="H104" s="65">
        <v>45971</v>
      </c>
      <c r="I104" s="243">
        <v>45968</v>
      </c>
      <c r="J104" s="57" t="s">
        <v>204</v>
      </c>
      <c r="K104" s="54">
        <f>IFERROR(VLOOKUP('Score BD'!$J104,Lista!A:B,2,0)," ")</f>
        <v>1075224344</v>
      </c>
      <c r="L104" s="61" t="s">
        <v>347</v>
      </c>
      <c r="M104" s="59" t="s">
        <v>4</v>
      </c>
      <c r="N104" s="59" t="s">
        <v>4</v>
      </c>
      <c r="O104" s="59" t="s">
        <v>4</v>
      </c>
      <c r="P104" s="59" t="s">
        <v>4</v>
      </c>
      <c r="Q104" s="96">
        <f t="shared" si="13"/>
        <v>1</v>
      </c>
      <c r="R104" s="59" t="s">
        <v>4</v>
      </c>
      <c r="S104" s="59" t="s">
        <v>4</v>
      </c>
      <c r="T104" s="59" t="s">
        <v>4</v>
      </c>
      <c r="U104" s="59" t="s">
        <v>4</v>
      </c>
      <c r="V104" s="72">
        <f t="shared" si="14"/>
        <v>1</v>
      </c>
      <c r="W104" s="59" t="s">
        <v>4</v>
      </c>
      <c r="X104" s="59" t="s">
        <v>4</v>
      </c>
      <c r="Y104" s="59" t="s">
        <v>4</v>
      </c>
      <c r="Z104" s="59" t="s">
        <v>4</v>
      </c>
      <c r="AA104" s="59" t="s">
        <v>4</v>
      </c>
      <c r="AB104" s="59" t="s">
        <v>4</v>
      </c>
      <c r="AC104" s="72">
        <f t="shared" si="15"/>
        <v>1.000000000000002</v>
      </c>
      <c r="AD104" s="59" t="s">
        <v>4</v>
      </c>
      <c r="AE104" s="59" t="s">
        <v>4</v>
      </c>
      <c r="AF104" s="97">
        <f t="shared" si="16"/>
        <v>1</v>
      </c>
      <c r="AG104" s="44">
        <f t="shared" si="17"/>
        <v>1.0000000000000004</v>
      </c>
      <c r="AH104" s="55">
        <f t="shared" si="18"/>
        <v>0</v>
      </c>
      <c r="AI104" s="55">
        <f>COUNTIF('Score BD'!$M104:$P104,"no")</f>
        <v>0</v>
      </c>
      <c r="AJ104" s="55">
        <f t="shared" si="19"/>
        <v>0</v>
      </c>
      <c r="AK104" s="55">
        <f t="shared" si="20"/>
        <v>0</v>
      </c>
      <c r="AL104" s="55">
        <f t="shared" si="21"/>
        <v>0</v>
      </c>
      <c r="AM104" s="59" t="s">
        <v>357</v>
      </c>
      <c r="AN104" s="55"/>
      <c r="AO104" s="55"/>
      <c r="AP104" s="43"/>
      <c r="AQ104" s="59" t="str">
        <f>IFERROR(_xlfn.XLOOKUP(Tabla1[[#This Row],[Cedula agente]],Lista!$B$2:$B$97,Lista!$G$2:$G$97)," ")</f>
        <v>Luisa Fernanda Benavides Castrillon</v>
      </c>
      <c r="AR104" s="59" t="s">
        <v>162</v>
      </c>
      <c r="AS104" s="55" t="str">
        <f>IFERROR(_xlfn.XLOOKUP(Tabla1[[#This Row],[Cedula agente]],Lista!$B$2:$B$97,Lista!$F$2:$F$97)," ")</f>
        <v>John Sebastian Roncancio Avendaño</v>
      </c>
      <c r="AT104" s="99">
        <v>0.95</v>
      </c>
      <c r="AU104" s="200">
        <f>+WEEKNUM('Score BD'!$H104)-WEEKNUM(DATE(YEAR('Score BD'!$H104),MONTH('Score BD'!$H104),1))+1</f>
        <v>3</v>
      </c>
    </row>
    <row r="105" spans="1:47" ht="17.45" customHeight="1" x14ac:dyDescent="0.3">
      <c r="A105" s="49" t="str">
        <f t="shared" si="11"/>
        <v>Ministerio de Educación Nacional</v>
      </c>
      <c r="B105" s="50">
        <f>+IFERROR(COUNTIF($J$3:J105,J105)," ")</f>
        <v>7</v>
      </c>
      <c r="C105" s="54" t="str">
        <f>+'Score BD'!$J105&amp;'Score BD'!$B105</f>
        <v>María José Uribe Medina7</v>
      </c>
      <c r="D105" s="91" t="s">
        <v>148</v>
      </c>
      <c r="E105" s="92" t="s">
        <v>164</v>
      </c>
      <c r="F105" s="92" t="s">
        <v>212</v>
      </c>
      <c r="G105" s="60" t="str">
        <f t="shared" si="12"/>
        <v>Noviembre</v>
      </c>
      <c r="H105" s="65">
        <v>45971</v>
      </c>
      <c r="I105" s="243">
        <v>45968</v>
      </c>
      <c r="J105" s="57" t="s">
        <v>205</v>
      </c>
      <c r="K105" s="54">
        <f>IFERROR(VLOOKUP('Score BD'!$J105,Lista!A:B,2,0)," ")</f>
        <v>1121919150</v>
      </c>
      <c r="L105" s="61" t="s">
        <v>348</v>
      </c>
      <c r="M105" s="59" t="s">
        <v>4</v>
      </c>
      <c r="N105" s="59" t="s">
        <v>4</v>
      </c>
      <c r="O105" s="59" t="s">
        <v>4</v>
      </c>
      <c r="P105" s="59" t="s">
        <v>4</v>
      </c>
      <c r="Q105" s="96">
        <f t="shared" si="13"/>
        <v>1</v>
      </c>
      <c r="R105" s="59" t="s">
        <v>4</v>
      </c>
      <c r="S105" s="59" t="s">
        <v>4</v>
      </c>
      <c r="T105" s="59" t="s">
        <v>4</v>
      </c>
      <c r="U105" s="59" t="s">
        <v>4</v>
      </c>
      <c r="V105" s="72">
        <f t="shared" si="14"/>
        <v>1</v>
      </c>
      <c r="W105" s="59" t="s">
        <v>4</v>
      </c>
      <c r="X105" s="59" t="s">
        <v>4</v>
      </c>
      <c r="Y105" s="59" t="s">
        <v>4</v>
      </c>
      <c r="Z105" s="59" t="s">
        <v>4</v>
      </c>
      <c r="AA105" s="59" t="s">
        <v>4</v>
      </c>
      <c r="AB105" s="59" t="s">
        <v>4</v>
      </c>
      <c r="AC105" s="72">
        <f t="shared" si="15"/>
        <v>1.000000000000002</v>
      </c>
      <c r="AD105" s="59" t="s">
        <v>4</v>
      </c>
      <c r="AE105" s="59" t="s">
        <v>4</v>
      </c>
      <c r="AF105" s="97">
        <f t="shared" si="16"/>
        <v>1</v>
      </c>
      <c r="AG105" s="44">
        <f t="shared" si="17"/>
        <v>1.0000000000000004</v>
      </c>
      <c r="AH105" s="55">
        <f t="shared" si="18"/>
        <v>0</v>
      </c>
      <c r="AI105" s="55">
        <f>COUNTIF('Score BD'!$M105:$P105,"no")</f>
        <v>0</v>
      </c>
      <c r="AJ105" s="55">
        <f t="shared" si="19"/>
        <v>0</v>
      </c>
      <c r="AK105" s="55">
        <f t="shared" si="20"/>
        <v>0</v>
      </c>
      <c r="AL105" s="55">
        <f t="shared" si="21"/>
        <v>0</v>
      </c>
      <c r="AM105" s="59" t="s">
        <v>357</v>
      </c>
      <c r="AN105" s="55"/>
      <c r="AO105" s="55"/>
      <c r="AP105" s="43"/>
      <c r="AQ105" s="59" t="str">
        <f>IFERROR(_xlfn.XLOOKUP(Tabla1[[#This Row],[Cedula agente]],Lista!$B$2:$B$97,Lista!$G$2:$G$97)," ")</f>
        <v>Luisa Fernanda Benavides Castrillon</v>
      </c>
      <c r="AR105" s="59" t="s">
        <v>162</v>
      </c>
      <c r="AS105" s="55" t="str">
        <f>IFERROR(_xlfn.XLOOKUP(Tabla1[[#This Row],[Cedula agente]],Lista!$B$2:$B$97,Lista!$F$2:$F$97)," ")</f>
        <v>John Sebastian Roncancio Avendaño</v>
      </c>
      <c r="AT105" s="99">
        <v>0.95</v>
      </c>
      <c r="AU105" s="200">
        <f>+WEEKNUM('Score BD'!$H105)-WEEKNUM(DATE(YEAR('Score BD'!$H105),MONTH('Score BD'!$H105),1))+1</f>
        <v>3</v>
      </c>
    </row>
    <row r="106" spans="1:47" ht="17.45" customHeight="1" x14ac:dyDescent="0.3">
      <c r="A106" s="49" t="str">
        <f t="shared" si="11"/>
        <v>Ministerio de Educación Nacional</v>
      </c>
      <c r="B106" s="50">
        <f>+IFERROR(COUNTIF($J$3:J106,J106)," ")</f>
        <v>8</v>
      </c>
      <c r="C106" s="54" t="str">
        <f>+'Score BD'!$J106&amp;'Score BD'!$B106</f>
        <v>María José Uribe Medina8</v>
      </c>
      <c r="D106" s="91" t="s">
        <v>148</v>
      </c>
      <c r="E106" s="92" t="s">
        <v>164</v>
      </c>
      <c r="F106" s="92" t="s">
        <v>212</v>
      </c>
      <c r="G106" s="60" t="str">
        <f t="shared" si="12"/>
        <v>Noviembre</v>
      </c>
      <c r="H106" s="65">
        <v>45971</v>
      </c>
      <c r="I106" s="243">
        <v>45968</v>
      </c>
      <c r="J106" s="57" t="s">
        <v>205</v>
      </c>
      <c r="K106" s="54">
        <f>IFERROR(VLOOKUP('Score BD'!$J106,Lista!A:B,2,0)," ")</f>
        <v>1121919150</v>
      </c>
      <c r="L106" s="61" t="s">
        <v>349</v>
      </c>
      <c r="M106" s="59" t="s">
        <v>4</v>
      </c>
      <c r="N106" s="59" t="s">
        <v>4</v>
      </c>
      <c r="O106" s="59" t="s">
        <v>4</v>
      </c>
      <c r="P106" s="59" t="s">
        <v>4</v>
      </c>
      <c r="Q106" s="96">
        <f t="shared" si="13"/>
        <v>1</v>
      </c>
      <c r="R106" s="59" t="s">
        <v>4</v>
      </c>
      <c r="S106" s="59" t="s">
        <v>4</v>
      </c>
      <c r="T106" s="59" t="s">
        <v>4</v>
      </c>
      <c r="U106" s="59" t="s">
        <v>4</v>
      </c>
      <c r="V106" s="72">
        <f t="shared" si="14"/>
        <v>1</v>
      </c>
      <c r="W106" s="59" t="s">
        <v>4</v>
      </c>
      <c r="X106" s="59" t="s">
        <v>4</v>
      </c>
      <c r="Y106" s="59" t="s">
        <v>4</v>
      </c>
      <c r="Z106" s="59" t="s">
        <v>4</v>
      </c>
      <c r="AA106" s="59" t="s">
        <v>4</v>
      </c>
      <c r="AB106" s="59" t="s">
        <v>4</v>
      </c>
      <c r="AC106" s="72">
        <f t="shared" si="15"/>
        <v>1.000000000000002</v>
      </c>
      <c r="AD106" s="59" t="s">
        <v>4</v>
      </c>
      <c r="AE106" s="59" t="s">
        <v>4</v>
      </c>
      <c r="AF106" s="97">
        <f t="shared" si="16"/>
        <v>1</v>
      </c>
      <c r="AG106" s="44">
        <f t="shared" si="17"/>
        <v>1.0000000000000004</v>
      </c>
      <c r="AH106" s="55">
        <f t="shared" si="18"/>
        <v>0</v>
      </c>
      <c r="AI106" s="55">
        <f>COUNTIF('Score BD'!$M106:$P106,"no")</f>
        <v>0</v>
      </c>
      <c r="AJ106" s="55">
        <f t="shared" si="19"/>
        <v>0</v>
      </c>
      <c r="AK106" s="55">
        <f t="shared" si="20"/>
        <v>0</v>
      </c>
      <c r="AL106" s="55">
        <f t="shared" si="21"/>
        <v>0</v>
      </c>
      <c r="AM106" s="59" t="s">
        <v>357</v>
      </c>
      <c r="AN106" s="55"/>
      <c r="AO106" s="55"/>
      <c r="AP106" s="43"/>
      <c r="AQ106" s="59" t="str">
        <f>IFERROR(_xlfn.XLOOKUP(Tabla1[[#This Row],[Cedula agente]],Lista!$B$2:$B$97,Lista!$G$2:$G$97)," ")</f>
        <v>Luisa Fernanda Benavides Castrillon</v>
      </c>
      <c r="AR106" s="59" t="s">
        <v>162</v>
      </c>
      <c r="AS106" s="55" t="str">
        <f>IFERROR(_xlfn.XLOOKUP(Tabla1[[#This Row],[Cedula agente]],Lista!$B$2:$B$97,Lista!$F$2:$F$97)," ")</f>
        <v>John Sebastian Roncancio Avendaño</v>
      </c>
      <c r="AT106" s="99">
        <v>0.95</v>
      </c>
      <c r="AU106" s="200">
        <f>+WEEKNUM('Score BD'!$H106)-WEEKNUM(DATE(YEAR('Score BD'!$H106),MONTH('Score BD'!$H106),1))+1</f>
        <v>3</v>
      </c>
    </row>
    <row r="107" spans="1:47" ht="17.45" customHeight="1" x14ac:dyDescent="0.3">
      <c r="A107" s="49" t="str">
        <f t="shared" si="11"/>
        <v>Ministerio de Educación Nacional</v>
      </c>
      <c r="B107" s="50">
        <f>+IFERROR(COUNTIF($J$3:J107,J107)," ")</f>
        <v>7</v>
      </c>
      <c r="C107" s="54" t="str">
        <f>+'Score BD'!$J107&amp;'Score BD'!$B107</f>
        <v>Natalia Cañón Betancourt7</v>
      </c>
      <c r="D107" s="91" t="s">
        <v>148</v>
      </c>
      <c r="E107" s="92" t="s">
        <v>164</v>
      </c>
      <c r="F107" s="92" t="s">
        <v>212</v>
      </c>
      <c r="G107" s="60" t="str">
        <f t="shared" si="12"/>
        <v>Noviembre</v>
      </c>
      <c r="H107" s="65">
        <v>45971</v>
      </c>
      <c r="I107" s="243">
        <v>45968</v>
      </c>
      <c r="J107" s="57" t="s">
        <v>181</v>
      </c>
      <c r="K107" s="54">
        <f>IFERROR(VLOOKUP('Score BD'!$J107,Lista!A:B,2,0)," ")</f>
        <v>1000383417</v>
      </c>
      <c r="L107" s="61" t="s">
        <v>350</v>
      </c>
      <c r="M107" s="59" t="s">
        <v>4</v>
      </c>
      <c r="N107" s="59" t="s">
        <v>4</v>
      </c>
      <c r="O107" s="59" t="s">
        <v>4</v>
      </c>
      <c r="P107" s="59" t="s">
        <v>4</v>
      </c>
      <c r="Q107" s="96">
        <f t="shared" si="13"/>
        <v>1</v>
      </c>
      <c r="R107" s="59" t="s">
        <v>4</v>
      </c>
      <c r="S107" s="59" t="s">
        <v>4</v>
      </c>
      <c r="T107" s="59" t="s">
        <v>4</v>
      </c>
      <c r="U107" s="59" t="s">
        <v>4</v>
      </c>
      <c r="V107" s="72">
        <f t="shared" si="14"/>
        <v>1</v>
      </c>
      <c r="W107" s="59" t="s">
        <v>4</v>
      </c>
      <c r="X107" s="59" t="s">
        <v>4</v>
      </c>
      <c r="Y107" s="59" t="s">
        <v>4</v>
      </c>
      <c r="Z107" s="59" t="s">
        <v>4</v>
      </c>
      <c r="AA107" s="59" t="s">
        <v>4</v>
      </c>
      <c r="AB107" s="59" t="s">
        <v>4</v>
      </c>
      <c r="AC107" s="72">
        <f t="shared" si="15"/>
        <v>1.000000000000002</v>
      </c>
      <c r="AD107" s="59" t="s">
        <v>4</v>
      </c>
      <c r="AE107" s="59" t="s">
        <v>4</v>
      </c>
      <c r="AF107" s="97">
        <f t="shared" si="16"/>
        <v>1</v>
      </c>
      <c r="AG107" s="44">
        <f t="shared" si="17"/>
        <v>1.0000000000000004</v>
      </c>
      <c r="AH107" s="55">
        <f t="shared" si="18"/>
        <v>0</v>
      </c>
      <c r="AI107" s="55">
        <f>COUNTIF('Score BD'!$M107:$P107,"no")</f>
        <v>0</v>
      </c>
      <c r="AJ107" s="55">
        <f t="shared" si="19"/>
        <v>0</v>
      </c>
      <c r="AK107" s="55">
        <f t="shared" si="20"/>
        <v>0</v>
      </c>
      <c r="AL107" s="55">
        <f t="shared" si="21"/>
        <v>0</v>
      </c>
      <c r="AM107" s="59" t="s">
        <v>357</v>
      </c>
      <c r="AN107" s="55"/>
      <c r="AO107" s="102"/>
      <c r="AP107" s="43"/>
      <c r="AQ107" s="59" t="str">
        <f>IFERROR(_xlfn.XLOOKUP(Tabla1[[#This Row],[Cedula agente]],Lista!$B$2:$B$97,Lista!$G$2:$G$97)," ")</f>
        <v>Luisa Fernanda Benavides Castrillon</v>
      </c>
      <c r="AR107" s="59" t="s">
        <v>162</v>
      </c>
      <c r="AS107" s="55" t="str">
        <f>IFERROR(_xlfn.XLOOKUP(Tabla1[[#This Row],[Cedula agente]],Lista!$B$2:$B$97,Lista!$F$2:$F$97)," ")</f>
        <v>John Sebastian Roncancio Avendaño</v>
      </c>
      <c r="AT107" s="99">
        <v>0.95</v>
      </c>
      <c r="AU107" s="200">
        <f>+WEEKNUM('Score BD'!$H107)-WEEKNUM(DATE(YEAR('Score BD'!$H107),MONTH('Score BD'!$H107),1))+1</f>
        <v>3</v>
      </c>
    </row>
    <row r="108" spans="1:47" ht="17.45" customHeight="1" x14ac:dyDescent="0.3">
      <c r="A108" s="49" t="str">
        <f t="shared" si="11"/>
        <v>Ministerio de Educación Nacional</v>
      </c>
      <c r="B108" s="50">
        <f>+IFERROR(COUNTIF($J$3:J108,J108)," ")</f>
        <v>8</v>
      </c>
      <c r="C108" s="54" t="str">
        <f>+'Score BD'!$J108&amp;'Score BD'!$B108</f>
        <v>Natalia Cañón Betancourt8</v>
      </c>
      <c r="D108" s="91" t="s">
        <v>148</v>
      </c>
      <c r="E108" s="92" t="s">
        <v>164</v>
      </c>
      <c r="F108" s="92" t="s">
        <v>212</v>
      </c>
      <c r="G108" s="60" t="str">
        <f t="shared" si="12"/>
        <v>Noviembre</v>
      </c>
      <c r="H108" s="65">
        <v>45971</v>
      </c>
      <c r="I108" s="243">
        <v>45968</v>
      </c>
      <c r="J108" s="57" t="s">
        <v>181</v>
      </c>
      <c r="K108" s="54">
        <f>IFERROR(VLOOKUP('Score BD'!$J108,Lista!A:B,2,0)," ")</f>
        <v>1000383417</v>
      </c>
      <c r="L108" s="61" t="s">
        <v>351</v>
      </c>
      <c r="M108" s="59" t="s">
        <v>4</v>
      </c>
      <c r="N108" s="59" t="s">
        <v>4</v>
      </c>
      <c r="O108" s="59" t="s">
        <v>4</v>
      </c>
      <c r="P108" s="59" t="s">
        <v>4</v>
      </c>
      <c r="Q108" s="96">
        <f t="shared" si="13"/>
        <v>1</v>
      </c>
      <c r="R108" s="59" t="s">
        <v>4</v>
      </c>
      <c r="S108" s="59" t="s">
        <v>4</v>
      </c>
      <c r="T108" s="59" t="s">
        <v>4</v>
      </c>
      <c r="U108" s="59" t="s">
        <v>4</v>
      </c>
      <c r="V108" s="72">
        <f t="shared" si="14"/>
        <v>1</v>
      </c>
      <c r="W108" s="59" t="s">
        <v>4</v>
      </c>
      <c r="X108" s="59" t="s">
        <v>4</v>
      </c>
      <c r="Y108" s="59" t="s">
        <v>4</v>
      </c>
      <c r="Z108" s="59" t="s">
        <v>4</v>
      </c>
      <c r="AA108" s="59" t="s">
        <v>4</v>
      </c>
      <c r="AB108" s="59" t="s">
        <v>4</v>
      </c>
      <c r="AC108" s="72">
        <f t="shared" si="15"/>
        <v>1.000000000000002</v>
      </c>
      <c r="AD108" s="59" t="s">
        <v>4</v>
      </c>
      <c r="AE108" s="59" t="s">
        <v>4</v>
      </c>
      <c r="AF108" s="97">
        <f t="shared" si="16"/>
        <v>1</v>
      </c>
      <c r="AG108" s="44">
        <f t="shared" si="17"/>
        <v>1.0000000000000004</v>
      </c>
      <c r="AH108" s="55">
        <f t="shared" si="18"/>
        <v>0</v>
      </c>
      <c r="AI108" s="55">
        <f>COUNTIF('Score BD'!$M108:$P108,"no")</f>
        <v>0</v>
      </c>
      <c r="AJ108" s="55">
        <f t="shared" si="19"/>
        <v>0</v>
      </c>
      <c r="AK108" s="55">
        <f t="shared" si="20"/>
        <v>0</v>
      </c>
      <c r="AL108" s="55">
        <f t="shared" si="21"/>
        <v>0</v>
      </c>
      <c r="AM108" s="59" t="s">
        <v>357</v>
      </c>
      <c r="AN108" s="55"/>
      <c r="AO108" s="55"/>
      <c r="AP108" s="43"/>
      <c r="AQ108" s="59" t="str">
        <f>IFERROR(_xlfn.XLOOKUP(Tabla1[[#This Row],[Cedula agente]],Lista!$B$2:$B$97,Lista!$G$2:$G$97)," ")</f>
        <v>Luisa Fernanda Benavides Castrillon</v>
      </c>
      <c r="AR108" s="59" t="s">
        <v>162</v>
      </c>
      <c r="AS108" s="55" t="str">
        <f>IFERROR(_xlfn.XLOOKUP(Tabla1[[#This Row],[Cedula agente]],Lista!$B$2:$B$97,Lista!$F$2:$F$97)," ")</f>
        <v>John Sebastian Roncancio Avendaño</v>
      </c>
      <c r="AT108" s="99">
        <v>0.95</v>
      </c>
      <c r="AU108" s="200">
        <f>+WEEKNUM('Score BD'!$H108)-WEEKNUM(DATE(YEAR('Score BD'!$H108),MONTH('Score BD'!$H108),1))+1</f>
        <v>3</v>
      </c>
    </row>
    <row r="109" spans="1:47" ht="17.45" customHeight="1" x14ac:dyDescent="0.3">
      <c r="A109" s="49" t="str">
        <f t="shared" si="11"/>
        <v>Ministerio de Educación Nacional</v>
      </c>
      <c r="B109" s="50">
        <f>+IFERROR(COUNTIF($J$3:J109,J109)," ")</f>
        <v>4</v>
      </c>
      <c r="C109" s="54" t="str">
        <f>+'Score BD'!$J109&amp;'Score BD'!$B109</f>
        <v>Quira Alejandra Herrera Camelo4</v>
      </c>
      <c r="D109" s="91" t="s">
        <v>148</v>
      </c>
      <c r="E109" s="92" t="s">
        <v>208</v>
      </c>
      <c r="F109" s="92" t="s">
        <v>212</v>
      </c>
      <c r="G109" s="60" t="str">
        <f t="shared" si="12"/>
        <v>Noviembre</v>
      </c>
      <c r="H109" s="65">
        <v>45971</v>
      </c>
      <c r="I109" s="243">
        <v>45968</v>
      </c>
      <c r="J109" s="57" t="s">
        <v>182</v>
      </c>
      <c r="K109" s="54">
        <f>IFERROR(VLOOKUP('Score BD'!$J109,Lista!A:B,2,0)," ")</f>
        <v>1010214168</v>
      </c>
      <c r="L109" s="61" t="s">
        <v>352</v>
      </c>
      <c r="M109" s="59" t="s">
        <v>4</v>
      </c>
      <c r="N109" s="59" t="s">
        <v>4</v>
      </c>
      <c r="O109" s="59" t="s">
        <v>4</v>
      </c>
      <c r="P109" s="59" t="s">
        <v>4</v>
      </c>
      <c r="Q109" s="96">
        <f t="shared" si="13"/>
        <v>1</v>
      </c>
      <c r="R109" s="59" t="s">
        <v>4</v>
      </c>
      <c r="S109" s="59" t="s">
        <v>4</v>
      </c>
      <c r="T109" s="59" t="s">
        <v>4</v>
      </c>
      <c r="U109" s="59" t="s">
        <v>4</v>
      </c>
      <c r="V109" s="72">
        <f t="shared" si="14"/>
        <v>1</v>
      </c>
      <c r="W109" s="59" t="s">
        <v>4</v>
      </c>
      <c r="X109" s="59" t="s">
        <v>4</v>
      </c>
      <c r="Y109" s="59" t="s">
        <v>4</v>
      </c>
      <c r="Z109" s="59" t="s">
        <v>4</v>
      </c>
      <c r="AA109" s="59" t="s">
        <v>4</v>
      </c>
      <c r="AB109" s="59" t="s">
        <v>4</v>
      </c>
      <c r="AC109" s="72">
        <f t="shared" si="15"/>
        <v>1.000000000000002</v>
      </c>
      <c r="AD109" s="59" t="s">
        <v>4</v>
      </c>
      <c r="AE109" s="59" t="s">
        <v>4</v>
      </c>
      <c r="AF109" s="97">
        <f t="shared" si="16"/>
        <v>1</v>
      </c>
      <c r="AG109" s="44">
        <f t="shared" si="17"/>
        <v>1.0000000000000004</v>
      </c>
      <c r="AH109" s="55">
        <f t="shared" si="18"/>
        <v>0</v>
      </c>
      <c r="AI109" s="55">
        <f>COUNTIF('Score BD'!$M109:$P109,"no")</f>
        <v>0</v>
      </c>
      <c r="AJ109" s="55">
        <f t="shared" si="19"/>
        <v>0</v>
      </c>
      <c r="AK109" s="55">
        <f t="shared" si="20"/>
        <v>0</v>
      </c>
      <c r="AL109" s="55">
        <f t="shared" si="21"/>
        <v>0</v>
      </c>
      <c r="AM109" s="59" t="s">
        <v>357</v>
      </c>
      <c r="AN109" s="55"/>
      <c r="AO109" s="55"/>
      <c r="AP109" s="43"/>
      <c r="AQ109" s="59" t="str">
        <f>IFERROR(_xlfn.XLOOKUP(Tabla1[[#This Row],[Cedula agente]],Lista!$B$2:$B$97,Lista!$G$2:$G$97)," ")</f>
        <v>Luisa Fernanda Benavides Castrillon</v>
      </c>
      <c r="AR109" s="59" t="s">
        <v>162</v>
      </c>
      <c r="AS109" s="55" t="str">
        <f>IFERROR(_xlfn.XLOOKUP(Tabla1[[#This Row],[Cedula agente]],Lista!$B$2:$B$97,Lista!$F$2:$F$97)," ")</f>
        <v>John Sebastian Roncancio Avendaño</v>
      </c>
      <c r="AT109" s="99">
        <v>0.95</v>
      </c>
      <c r="AU109" s="200">
        <f>+WEEKNUM('Score BD'!$H109)-WEEKNUM(DATE(YEAR('Score BD'!$H109),MONTH('Score BD'!$H109),1))+1</f>
        <v>3</v>
      </c>
    </row>
    <row r="110" spans="1:47" ht="17.45" customHeight="1" x14ac:dyDescent="0.3">
      <c r="A110" s="49" t="str">
        <f t="shared" si="11"/>
        <v>Ministerio de Educación Nacional</v>
      </c>
      <c r="B110" s="50">
        <f>+IFERROR(COUNTIF($J$3:J110,J110)," ")</f>
        <v>4</v>
      </c>
      <c r="C110" s="54" t="str">
        <f>+'Score BD'!$J110&amp;'Score BD'!$B110</f>
        <v>Valentina Castillo Rondón4</v>
      </c>
      <c r="D110" s="91" t="s">
        <v>148</v>
      </c>
      <c r="E110" s="92" t="s">
        <v>165</v>
      </c>
      <c r="F110" s="92" t="s">
        <v>212</v>
      </c>
      <c r="G110" s="60" t="str">
        <f t="shared" si="12"/>
        <v>Noviembre</v>
      </c>
      <c r="H110" s="65">
        <v>45971</v>
      </c>
      <c r="I110" s="243">
        <v>45968</v>
      </c>
      <c r="J110" s="57" t="s">
        <v>183</v>
      </c>
      <c r="K110" s="54">
        <f>IFERROR(VLOOKUP('Score BD'!$J110,Lista!A:B,2,0)," ")</f>
        <v>1121950095</v>
      </c>
      <c r="L110" s="61" t="s">
        <v>353</v>
      </c>
      <c r="M110" s="59" t="s">
        <v>4</v>
      </c>
      <c r="N110" s="59" t="s">
        <v>4</v>
      </c>
      <c r="O110" s="59" t="s">
        <v>4</v>
      </c>
      <c r="P110" s="59" t="s">
        <v>4</v>
      </c>
      <c r="Q110" s="96">
        <f t="shared" si="13"/>
        <v>1</v>
      </c>
      <c r="R110" s="59" t="s">
        <v>4</v>
      </c>
      <c r="S110" s="59" t="s">
        <v>4</v>
      </c>
      <c r="T110" s="59" t="s">
        <v>4</v>
      </c>
      <c r="U110" s="59" t="s">
        <v>4</v>
      </c>
      <c r="V110" s="72">
        <f t="shared" si="14"/>
        <v>1</v>
      </c>
      <c r="W110" s="59" t="s">
        <v>4</v>
      </c>
      <c r="X110" s="59" t="s">
        <v>4</v>
      </c>
      <c r="Y110" s="59" t="s">
        <v>4</v>
      </c>
      <c r="Z110" s="59" t="s">
        <v>4</v>
      </c>
      <c r="AA110" s="59" t="s">
        <v>4</v>
      </c>
      <c r="AB110" s="59" t="s">
        <v>4</v>
      </c>
      <c r="AC110" s="72">
        <f t="shared" si="15"/>
        <v>1.000000000000002</v>
      </c>
      <c r="AD110" s="59" t="s">
        <v>4</v>
      </c>
      <c r="AE110" s="59" t="s">
        <v>4</v>
      </c>
      <c r="AF110" s="97">
        <f t="shared" si="16"/>
        <v>1</v>
      </c>
      <c r="AG110" s="44">
        <f t="shared" si="17"/>
        <v>1.0000000000000004</v>
      </c>
      <c r="AH110" s="55">
        <f t="shared" si="18"/>
        <v>0</v>
      </c>
      <c r="AI110" s="55">
        <f>COUNTIF('Score BD'!$M110:$P110,"no")</f>
        <v>0</v>
      </c>
      <c r="AJ110" s="55">
        <f t="shared" si="19"/>
        <v>0</v>
      </c>
      <c r="AK110" s="55">
        <f t="shared" si="20"/>
        <v>0</v>
      </c>
      <c r="AL110" s="55">
        <f t="shared" si="21"/>
        <v>0</v>
      </c>
      <c r="AM110" s="59" t="s">
        <v>357</v>
      </c>
      <c r="AN110" s="55"/>
      <c r="AO110" s="55"/>
      <c r="AP110" s="43"/>
      <c r="AQ110" s="59" t="str">
        <f>IFERROR(_xlfn.XLOOKUP(Tabla1[[#This Row],[Cedula agente]],Lista!$B$2:$B$97,Lista!$G$2:$G$97)," ")</f>
        <v>Luisa Fernanda Benavides Castrillon</v>
      </c>
      <c r="AR110" s="59" t="s">
        <v>162</v>
      </c>
      <c r="AS110" s="55" t="str">
        <f>IFERROR(_xlfn.XLOOKUP(Tabla1[[#This Row],[Cedula agente]],Lista!$B$2:$B$97,Lista!$F$2:$F$97)," ")</f>
        <v>John Sebastian Roncancio Avendaño</v>
      </c>
      <c r="AT110" s="99">
        <v>0.95</v>
      </c>
      <c r="AU110" s="200">
        <f>+WEEKNUM('Score BD'!$H110)-WEEKNUM(DATE(YEAR('Score BD'!$H110),MONTH('Score BD'!$H110),1))+1</f>
        <v>3</v>
      </c>
    </row>
    <row r="111" spans="1:47" ht="17.45" customHeight="1" x14ac:dyDescent="0.3">
      <c r="A111" s="49" t="str">
        <f t="shared" si="11"/>
        <v>Ministerio de Educación Nacional</v>
      </c>
      <c r="B111" s="50">
        <f>+IFERROR(COUNTIF($J$3:J111,J111)," ")</f>
        <v>5</v>
      </c>
      <c r="C111" s="54" t="str">
        <f>+'Score BD'!$J111&amp;'Score BD'!$B111</f>
        <v>Yenny Maribel Duran Ovejero5</v>
      </c>
      <c r="D111" s="91" t="s">
        <v>148</v>
      </c>
      <c r="E111" s="92" t="s">
        <v>165</v>
      </c>
      <c r="F111" s="92" t="s">
        <v>212</v>
      </c>
      <c r="G111" s="60" t="str">
        <f t="shared" si="12"/>
        <v>Noviembre</v>
      </c>
      <c r="H111" s="65">
        <v>45971</v>
      </c>
      <c r="I111" s="243">
        <v>45968</v>
      </c>
      <c r="J111" s="57" t="s">
        <v>206</v>
      </c>
      <c r="K111" s="54">
        <f>IFERROR(VLOOKUP('Score BD'!$J111,Lista!A:B,2,0)," ")</f>
        <v>52962387</v>
      </c>
      <c r="L111" s="61" t="s">
        <v>354</v>
      </c>
      <c r="M111" s="59" t="s">
        <v>4</v>
      </c>
      <c r="N111" s="59" t="s">
        <v>4</v>
      </c>
      <c r="O111" s="59" t="s">
        <v>4</v>
      </c>
      <c r="P111" s="59" t="s">
        <v>4</v>
      </c>
      <c r="Q111" s="96">
        <f t="shared" si="13"/>
        <v>1</v>
      </c>
      <c r="R111" s="59" t="s">
        <v>4</v>
      </c>
      <c r="S111" s="59" t="s">
        <v>4</v>
      </c>
      <c r="T111" s="59" t="s">
        <v>4</v>
      </c>
      <c r="U111" s="59" t="s">
        <v>4</v>
      </c>
      <c r="V111" s="72">
        <f t="shared" si="14"/>
        <v>1</v>
      </c>
      <c r="W111" s="59" t="s">
        <v>4</v>
      </c>
      <c r="X111" s="59" t="s">
        <v>4</v>
      </c>
      <c r="Y111" s="59" t="s">
        <v>4</v>
      </c>
      <c r="Z111" s="59" t="s">
        <v>4</v>
      </c>
      <c r="AA111" s="59" t="s">
        <v>4</v>
      </c>
      <c r="AB111" s="59" t="s">
        <v>4</v>
      </c>
      <c r="AC111" s="72">
        <f t="shared" si="15"/>
        <v>1.000000000000002</v>
      </c>
      <c r="AD111" s="59" t="s">
        <v>4</v>
      </c>
      <c r="AE111" s="59" t="s">
        <v>4</v>
      </c>
      <c r="AF111" s="97">
        <f t="shared" si="16"/>
        <v>1</v>
      </c>
      <c r="AG111" s="44">
        <f t="shared" si="17"/>
        <v>1.0000000000000004</v>
      </c>
      <c r="AH111" s="55">
        <f t="shared" si="18"/>
        <v>0</v>
      </c>
      <c r="AI111" s="55">
        <f>COUNTIF('Score BD'!$M111:$P111,"no")</f>
        <v>0</v>
      </c>
      <c r="AJ111" s="55">
        <f t="shared" si="19"/>
        <v>0</v>
      </c>
      <c r="AK111" s="55">
        <f t="shared" si="20"/>
        <v>0</v>
      </c>
      <c r="AL111" s="55">
        <f t="shared" si="21"/>
        <v>0</v>
      </c>
      <c r="AM111" s="59" t="s">
        <v>357</v>
      </c>
      <c r="AN111" s="55"/>
      <c r="AO111" s="55"/>
      <c r="AP111" s="43"/>
      <c r="AQ111" s="59" t="str">
        <f>IFERROR(_xlfn.XLOOKUP(Tabla1[[#This Row],[Cedula agente]],Lista!$B$2:$B$97,Lista!$G$2:$G$97)," ")</f>
        <v>Luisa Fernanda Benavides Castrillon</v>
      </c>
      <c r="AR111" s="59" t="s">
        <v>162</v>
      </c>
      <c r="AS111" s="55" t="str">
        <f>IFERROR(_xlfn.XLOOKUP(Tabla1[[#This Row],[Cedula agente]],Lista!$B$2:$B$97,Lista!$F$2:$F$97)," ")</f>
        <v>John Sebastian Roncancio Avendaño</v>
      </c>
      <c r="AT111" s="99">
        <v>0.95</v>
      </c>
      <c r="AU111" s="200">
        <f>+WEEKNUM('Score BD'!$H111)-WEEKNUM(DATE(YEAR('Score BD'!$H111),MONTH('Score BD'!$H111),1))+1</f>
        <v>3</v>
      </c>
    </row>
    <row r="112" spans="1:47" ht="17.45" customHeight="1" x14ac:dyDescent="0.3">
      <c r="A112" s="49" t="str">
        <f t="shared" si="11"/>
        <v>Ministerio de Educación Nacional</v>
      </c>
      <c r="B112" s="50">
        <f>+IFERROR(COUNTIF($J$3:J112,J112)," ")</f>
        <v>14</v>
      </c>
      <c r="C112" s="54" t="str">
        <f>+'Score BD'!$J112&amp;'Score BD'!$B112</f>
        <v>Ana Graciela Barbosa Villalobos14</v>
      </c>
      <c r="D112" s="91" t="s">
        <v>148</v>
      </c>
      <c r="E112" s="92" t="s">
        <v>210</v>
      </c>
      <c r="F112" s="92" t="s">
        <v>212</v>
      </c>
      <c r="G112" s="60" t="str">
        <f t="shared" si="12"/>
        <v>Noviembre</v>
      </c>
      <c r="H112" s="65">
        <v>45972</v>
      </c>
      <c r="I112" s="243">
        <v>45971</v>
      </c>
      <c r="J112" s="57" t="s">
        <v>171</v>
      </c>
      <c r="K112" s="54">
        <f>IFERROR(VLOOKUP('Score BD'!$J112,Lista!A:B,2,0)," ")</f>
        <v>1026264261</v>
      </c>
      <c r="L112" s="61" t="s">
        <v>361</v>
      </c>
      <c r="M112" s="59" t="s">
        <v>4</v>
      </c>
      <c r="N112" s="59" t="s">
        <v>4</v>
      </c>
      <c r="O112" s="59" t="s">
        <v>4</v>
      </c>
      <c r="P112" s="59" t="s">
        <v>4</v>
      </c>
      <c r="Q112" s="96">
        <f t="shared" si="13"/>
        <v>1</v>
      </c>
      <c r="R112" s="59" t="s">
        <v>4</v>
      </c>
      <c r="S112" s="59" t="s">
        <v>4</v>
      </c>
      <c r="T112" s="59" t="s">
        <v>4</v>
      </c>
      <c r="U112" s="59" t="s">
        <v>4</v>
      </c>
      <c r="V112" s="72">
        <f t="shared" si="14"/>
        <v>1</v>
      </c>
      <c r="W112" s="59" t="s">
        <v>4</v>
      </c>
      <c r="X112" s="59" t="s">
        <v>4</v>
      </c>
      <c r="Y112" s="59" t="s">
        <v>4</v>
      </c>
      <c r="Z112" s="59" t="s">
        <v>4</v>
      </c>
      <c r="AA112" s="59" t="s">
        <v>4</v>
      </c>
      <c r="AB112" s="59" t="s">
        <v>4</v>
      </c>
      <c r="AC112" s="72">
        <f t="shared" si="15"/>
        <v>1.000000000000002</v>
      </c>
      <c r="AD112" s="43" t="s">
        <v>4</v>
      </c>
      <c r="AE112" s="43" t="s">
        <v>4</v>
      </c>
      <c r="AF112" s="97">
        <f t="shared" si="16"/>
        <v>1</v>
      </c>
      <c r="AG112" s="44">
        <f t="shared" si="17"/>
        <v>1.0000000000000004</v>
      </c>
      <c r="AH112" s="55">
        <f t="shared" si="18"/>
        <v>0</v>
      </c>
      <c r="AI112" s="55">
        <f>COUNTIF('Score BD'!$M112:$P112,"no")</f>
        <v>0</v>
      </c>
      <c r="AJ112" s="55">
        <f t="shared" si="19"/>
        <v>0</v>
      </c>
      <c r="AK112" s="55">
        <f t="shared" si="20"/>
        <v>0</v>
      </c>
      <c r="AL112" s="55">
        <f t="shared" si="21"/>
        <v>0</v>
      </c>
      <c r="AM112" s="59" t="s">
        <v>580</v>
      </c>
      <c r="AN112" s="55"/>
      <c r="AO112" s="55"/>
      <c r="AP112" s="43"/>
      <c r="AQ112" s="59" t="str">
        <f>IFERROR(_xlfn.XLOOKUP(Tabla1[[#This Row],[Cedula agente]],Lista!$B$2:$B$97,Lista!$G$2:$G$97)," ")</f>
        <v>Luisa Fernanda Benavides Castrillon</v>
      </c>
      <c r="AR112" s="59" t="s">
        <v>162</v>
      </c>
      <c r="AS112" s="55" t="str">
        <f>IFERROR(_xlfn.XLOOKUP(Tabla1[[#This Row],[Cedula agente]],Lista!$B$2:$B$97,Lista!$F$2:$F$97)," ")</f>
        <v>John Sebastian Roncancio Avendaño</v>
      </c>
      <c r="AT112" s="99">
        <v>0.95</v>
      </c>
      <c r="AU112" s="200">
        <f>+WEEKNUM('Score BD'!$H112)-WEEKNUM(DATE(YEAR('Score BD'!$H112),MONTH('Score BD'!$H112),1))+1</f>
        <v>3</v>
      </c>
    </row>
    <row r="113" spans="1:47" ht="17.45" customHeight="1" x14ac:dyDescent="0.3">
      <c r="A113" s="49" t="str">
        <f t="shared" si="11"/>
        <v>Ministerio de Educación Nacional</v>
      </c>
      <c r="B113" s="50">
        <f>+IFERROR(COUNTIF($J$3:J113,J113)," ")</f>
        <v>15</v>
      </c>
      <c r="C113" s="54" t="str">
        <f>+'Score BD'!$J113&amp;'Score BD'!$B113</f>
        <v>Ana Graciela Barbosa Villalobos15</v>
      </c>
      <c r="D113" s="91" t="s">
        <v>148</v>
      </c>
      <c r="E113" s="92" t="s">
        <v>210</v>
      </c>
      <c r="F113" s="92" t="s">
        <v>212</v>
      </c>
      <c r="G113" s="60" t="str">
        <f t="shared" si="12"/>
        <v>Noviembre</v>
      </c>
      <c r="H113" s="65">
        <v>45972</v>
      </c>
      <c r="I113" s="243">
        <v>45971</v>
      </c>
      <c r="J113" s="57" t="s">
        <v>171</v>
      </c>
      <c r="K113" s="54">
        <f>IFERROR(VLOOKUP('Score BD'!$J113,Lista!A:B,2,0)," ")</f>
        <v>1026264261</v>
      </c>
      <c r="L113" s="61" t="s">
        <v>362</v>
      </c>
      <c r="M113" s="59" t="s">
        <v>4</v>
      </c>
      <c r="N113" s="59" t="s">
        <v>4</v>
      </c>
      <c r="O113" s="59" t="s">
        <v>4</v>
      </c>
      <c r="P113" s="59" t="s">
        <v>4</v>
      </c>
      <c r="Q113" s="96">
        <f t="shared" si="13"/>
        <v>1</v>
      </c>
      <c r="R113" s="59" t="s">
        <v>4</v>
      </c>
      <c r="S113" s="59" t="s">
        <v>4</v>
      </c>
      <c r="T113" s="59" t="s">
        <v>4</v>
      </c>
      <c r="U113" s="59" t="s">
        <v>4</v>
      </c>
      <c r="V113" s="72">
        <f t="shared" si="14"/>
        <v>1</v>
      </c>
      <c r="W113" s="59" t="s">
        <v>4</v>
      </c>
      <c r="X113" s="59" t="s">
        <v>4</v>
      </c>
      <c r="Y113" s="59" t="s">
        <v>4</v>
      </c>
      <c r="Z113" s="59" t="s">
        <v>4</v>
      </c>
      <c r="AA113" s="59" t="s">
        <v>4</v>
      </c>
      <c r="AB113" s="59" t="s">
        <v>4</v>
      </c>
      <c r="AC113" s="72">
        <f t="shared" si="15"/>
        <v>1.000000000000002</v>
      </c>
      <c r="AD113" s="43" t="s">
        <v>4</v>
      </c>
      <c r="AE113" s="43" t="s">
        <v>4</v>
      </c>
      <c r="AF113" s="97">
        <f t="shared" si="16"/>
        <v>1</v>
      </c>
      <c r="AG113" s="44">
        <f t="shared" si="17"/>
        <v>1.0000000000000004</v>
      </c>
      <c r="AH113" s="55">
        <f t="shared" si="18"/>
        <v>0</v>
      </c>
      <c r="AI113" s="55">
        <f>COUNTIF('Score BD'!$M113:$P113,"no")</f>
        <v>0</v>
      </c>
      <c r="AJ113" s="55">
        <f t="shared" si="19"/>
        <v>0</v>
      </c>
      <c r="AK113" s="55">
        <f t="shared" si="20"/>
        <v>0</v>
      </c>
      <c r="AL113" s="55">
        <f t="shared" si="21"/>
        <v>0</v>
      </c>
      <c r="AM113" s="59" t="s">
        <v>580</v>
      </c>
      <c r="AN113" s="55"/>
      <c r="AO113" s="55"/>
      <c r="AP113" s="43"/>
      <c r="AQ113" s="59" t="str">
        <f>IFERROR(_xlfn.XLOOKUP(Tabla1[[#This Row],[Cedula agente]],Lista!$B$2:$B$97,Lista!$G$2:$G$97)," ")</f>
        <v>Luisa Fernanda Benavides Castrillon</v>
      </c>
      <c r="AR113" s="59" t="s">
        <v>162</v>
      </c>
      <c r="AS113" s="55" t="str">
        <f>IFERROR(_xlfn.XLOOKUP(Tabla1[[#This Row],[Cedula agente]],Lista!$B$2:$B$97,Lista!$F$2:$F$97)," ")</f>
        <v>John Sebastian Roncancio Avendaño</v>
      </c>
      <c r="AT113" s="99">
        <v>0.95</v>
      </c>
      <c r="AU113" s="200">
        <f>+WEEKNUM('Score BD'!$H113)-WEEKNUM(DATE(YEAR('Score BD'!$H113),MONTH('Score BD'!$H113),1))+1</f>
        <v>3</v>
      </c>
    </row>
    <row r="114" spans="1:47" ht="17.45" customHeight="1" x14ac:dyDescent="0.3">
      <c r="A114" s="49" t="str">
        <f t="shared" si="11"/>
        <v>Ministerio de Educación Nacional</v>
      </c>
      <c r="B114" s="50">
        <f>+IFERROR(COUNTIF($J$3:J114,J114)," ")</f>
        <v>16</v>
      </c>
      <c r="C114" s="54" t="str">
        <f>+'Score BD'!$J114&amp;'Score BD'!$B114</f>
        <v>Ana Graciela Barbosa Villalobos16</v>
      </c>
      <c r="D114" s="91" t="s">
        <v>148</v>
      </c>
      <c r="E114" s="92" t="s">
        <v>210</v>
      </c>
      <c r="F114" s="92" t="s">
        <v>212</v>
      </c>
      <c r="G114" s="60" t="str">
        <f t="shared" si="12"/>
        <v>Noviembre</v>
      </c>
      <c r="H114" s="65">
        <v>45972</v>
      </c>
      <c r="I114" s="243">
        <v>45971</v>
      </c>
      <c r="J114" s="57" t="s">
        <v>171</v>
      </c>
      <c r="K114" s="54">
        <f>IFERROR(VLOOKUP('Score BD'!$J114,Lista!A:B,2,0)," ")</f>
        <v>1026264261</v>
      </c>
      <c r="L114" s="61" t="s">
        <v>363</v>
      </c>
      <c r="M114" s="59" t="s">
        <v>4</v>
      </c>
      <c r="N114" s="59" t="s">
        <v>4</v>
      </c>
      <c r="O114" s="59" t="s">
        <v>4</v>
      </c>
      <c r="P114" s="59" t="s">
        <v>4</v>
      </c>
      <c r="Q114" s="96">
        <f t="shared" si="13"/>
        <v>1</v>
      </c>
      <c r="R114" s="59" t="s">
        <v>4</v>
      </c>
      <c r="S114" s="59" t="s">
        <v>4</v>
      </c>
      <c r="T114" s="59" t="s">
        <v>4</v>
      </c>
      <c r="U114" s="59" t="s">
        <v>4</v>
      </c>
      <c r="V114" s="72">
        <f t="shared" si="14"/>
        <v>1</v>
      </c>
      <c r="W114" s="59" t="s">
        <v>4</v>
      </c>
      <c r="X114" s="59" t="s">
        <v>4</v>
      </c>
      <c r="Y114" s="59" t="s">
        <v>4</v>
      </c>
      <c r="Z114" s="59" t="s">
        <v>4</v>
      </c>
      <c r="AA114" s="59" t="s">
        <v>4</v>
      </c>
      <c r="AB114" s="59" t="s">
        <v>4</v>
      </c>
      <c r="AC114" s="72">
        <f t="shared" si="15"/>
        <v>1.000000000000002</v>
      </c>
      <c r="AD114" s="43" t="s">
        <v>4</v>
      </c>
      <c r="AE114" s="43" t="s">
        <v>4</v>
      </c>
      <c r="AF114" s="97">
        <f t="shared" si="16"/>
        <v>1</v>
      </c>
      <c r="AG114" s="44">
        <f t="shared" si="17"/>
        <v>1.0000000000000004</v>
      </c>
      <c r="AH114" s="55">
        <f t="shared" si="18"/>
        <v>0</v>
      </c>
      <c r="AI114" s="55">
        <f>COUNTIF('Score BD'!$M114:$P114,"no")</f>
        <v>0</v>
      </c>
      <c r="AJ114" s="55">
        <f t="shared" si="19"/>
        <v>0</v>
      </c>
      <c r="AK114" s="55">
        <f t="shared" si="20"/>
        <v>0</v>
      </c>
      <c r="AL114" s="55">
        <f t="shared" si="21"/>
        <v>0</v>
      </c>
      <c r="AM114" s="59" t="s">
        <v>580</v>
      </c>
      <c r="AN114" s="55"/>
      <c r="AO114" s="55"/>
      <c r="AP114" s="43"/>
      <c r="AQ114" s="59" t="str">
        <f>IFERROR(_xlfn.XLOOKUP(Tabla1[[#This Row],[Cedula agente]],Lista!$B$2:$B$97,Lista!$G$2:$G$97)," ")</f>
        <v>Luisa Fernanda Benavides Castrillon</v>
      </c>
      <c r="AR114" s="59" t="s">
        <v>162</v>
      </c>
      <c r="AS114" s="55" t="str">
        <f>IFERROR(_xlfn.XLOOKUP(Tabla1[[#This Row],[Cedula agente]],Lista!$B$2:$B$97,Lista!$F$2:$F$97)," ")</f>
        <v>John Sebastian Roncancio Avendaño</v>
      </c>
      <c r="AT114" s="99">
        <v>0.95</v>
      </c>
      <c r="AU114" s="200">
        <f>+WEEKNUM('Score BD'!$H114)-WEEKNUM(DATE(YEAR('Score BD'!$H114),MONTH('Score BD'!$H114),1))+1</f>
        <v>3</v>
      </c>
    </row>
    <row r="115" spans="1:47" ht="17.45" customHeight="1" x14ac:dyDescent="0.3">
      <c r="A115" s="49" t="str">
        <f t="shared" si="11"/>
        <v>Ministerio de Educación Nacional</v>
      </c>
      <c r="B115" s="50">
        <f>+IFERROR(COUNTIF($J$3:J115,J115)," ")</f>
        <v>3</v>
      </c>
      <c r="C115" s="54" t="str">
        <f>+'Score BD'!$J115&amp;'Score BD'!$B115</f>
        <v>Andrés Felipe Silva Martínez3</v>
      </c>
      <c r="D115" s="91" t="s">
        <v>148</v>
      </c>
      <c r="E115" s="92" t="s">
        <v>208</v>
      </c>
      <c r="F115" s="92" t="s">
        <v>212</v>
      </c>
      <c r="G115" s="60" t="str">
        <f t="shared" si="12"/>
        <v>Noviembre</v>
      </c>
      <c r="H115" s="65">
        <v>45972</v>
      </c>
      <c r="I115" s="243">
        <v>45971</v>
      </c>
      <c r="J115" s="57" t="s">
        <v>228</v>
      </c>
      <c r="K115" s="54">
        <f>IFERROR(VLOOKUP('Score BD'!$J115,Lista!A:B,2,0)," ")</f>
        <v>1120362660</v>
      </c>
      <c r="L115" s="61" t="s">
        <v>364</v>
      </c>
      <c r="M115" s="59" t="s">
        <v>4</v>
      </c>
      <c r="N115" s="59" t="s">
        <v>4</v>
      </c>
      <c r="O115" s="59" t="s">
        <v>4</v>
      </c>
      <c r="P115" s="59" t="s">
        <v>4</v>
      </c>
      <c r="Q115" s="96">
        <f t="shared" si="13"/>
        <v>1</v>
      </c>
      <c r="R115" s="59" t="s">
        <v>4</v>
      </c>
      <c r="S115" s="59" t="s">
        <v>4</v>
      </c>
      <c r="T115" s="59" t="s">
        <v>4</v>
      </c>
      <c r="U115" s="59" t="s">
        <v>4</v>
      </c>
      <c r="V115" s="72">
        <f t="shared" si="14"/>
        <v>1</v>
      </c>
      <c r="W115" s="59" t="s">
        <v>4</v>
      </c>
      <c r="X115" s="59" t="s">
        <v>4</v>
      </c>
      <c r="Y115" s="59" t="s">
        <v>4</v>
      </c>
      <c r="Z115" s="59" t="s">
        <v>4</v>
      </c>
      <c r="AA115" s="59" t="s">
        <v>4</v>
      </c>
      <c r="AB115" s="59" t="s">
        <v>4</v>
      </c>
      <c r="AC115" s="72">
        <f t="shared" si="15"/>
        <v>1.000000000000002</v>
      </c>
      <c r="AD115" s="43" t="s">
        <v>4</v>
      </c>
      <c r="AE115" s="43" t="s">
        <v>4</v>
      </c>
      <c r="AF115" s="97">
        <f t="shared" si="16"/>
        <v>1</v>
      </c>
      <c r="AG115" s="44">
        <f t="shared" si="17"/>
        <v>1.0000000000000004</v>
      </c>
      <c r="AH115" s="55">
        <f t="shared" si="18"/>
        <v>0</v>
      </c>
      <c r="AI115" s="55">
        <f>COUNTIF('Score BD'!$M115:$P115,"no")</f>
        <v>0</v>
      </c>
      <c r="AJ115" s="55">
        <f t="shared" si="19"/>
        <v>0</v>
      </c>
      <c r="AK115" s="55">
        <f t="shared" si="20"/>
        <v>0</v>
      </c>
      <c r="AL115" s="55">
        <f t="shared" si="21"/>
        <v>0</v>
      </c>
      <c r="AM115" s="59" t="s">
        <v>580</v>
      </c>
      <c r="AN115" s="55"/>
      <c r="AO115" s="55"/>
      <c r="AP115" s="43"/>
      <c r="AQ115" s="59" t="str">
        <f>IFERROR(_xlfn.XLOOKUP(Tabla1[[#This Row],[Cedula agente]],Lista!$B$2:$B$97,Lista!$G$2:$G$97)," ")</f>
        <v>Luisa Fernanda Benavides Castrillon</v>
      </c>
      <c r="AR115" s="59" t="s">
        <v>162</v>
      </c>
      <c r="AS115" s="55" t="str">
        <f>IFERROR(_xlfn.XLOOKUP(Tabla1[[#This Row],[Cedula agente]],Lista!$B$2:$B$97,Lista!$F$2:$F$97)," ")</f>
        <v>John Sebastian Roncancio Avendaño</v>
      </c>
      <c r="AT115" s="99">
        <v>0.95</v>
      </c>
      <c r="AU115" s="200">
        <f>+WEEKNUM('Score BD'!$H115)-WEEKNUM(DATE(YEAR('Score BD'!$H115),MONTH('Score BD'!$H115),1))+1</f>
        <v>3</v>
      </c>
    </row>
    <row r="116" spans="1:47" ht="17.45" customHeight="1" x14ac:dyDescent="0.3">
      <c r="A116" s="49" t="str">
        <f t="shared" si="11"/>
        <v>Ministerio de Educación Nacional</v>
      </c>
      <c r="B116" s="50">
        <f>+IFERROR(COUNTIF($J$3:J116,J116)," ")</f>
        <v>5</v>
      </c>
      <c r="C116" s="54" t="str">
        <f>+'Score BD'!$J116&amp;'Score BD'!$B116</f>
        <v>Cesar Rodrigo García5</v>
      </c>
      <c r="D116" s="91" t="s">
        <v>148</v>
      </c>
      <c r="E116" s="92" t="s">
        <v>165</v>
      </c>
      <c r="F116" s="92" t="s">
        <v>212</v>
      </c>
      <c r="G116" s="60" t="str">
        <f t="shared" si="12"/>
        <v>Noviembre</v>
      </c>
      <c r="H116" s="65">
        <v>45972</v>
      </c>
      <c r="I116" s="243">
        <v>45971</v>
      </c>
      <c r="J116" s="57" t="s">
        <v>172</v>
      </c>
      <c r="K116" s="54">
        <f>IFERROR(VLOOKUP('Score BD'!$J116,Lista!A:B,2,0)," ")</f>
        <v>1069257937</v>
      </c>
      <c r="L116" s="61" t="s">
        <v>365</v>
      </c>
      <c r="M116" s="59" t="s">
        <v>4</v>
      </c>
      <c r="N116" s="59" t="s">
        <v>4</v>
      </c>
      <c r="O116" s="59" t="s">
        <v>4</v>
      </c>
      <c r="P116" s="59" t="s">
        <v>4</v>
      </c>
      <c r="Q116" s="96">
        <f t="shared" si="13"/>
        <v>1</v>
      </c>
      <c r="R116" s="59" t="s">
        <v>4</v>
      </c>
      <c r="S116" s="59" t="s">
        <v>4</v>
      </c>
      <c r="T116" s="59" t="s">
        <v>4</v>
      </c>
      <c r="U116" s="59" t="s">
        <v>4</v>
      </c>
      <c r="V116" s="72">
        <f t="shared" si="14"/>
        <v>1</v>
      </c>
      <c r="W116" s="59" t="s">
        <v>4</v>
      </c>
      <c r="X116" s="59" t="s">
        <v>4</v>
      </c>
      <c r="Y116" s="59" t="s">
        <v>4</v>
      </c>
      <c r="Z116" s="59" t="s">
        <v>4</v>
      </c>
      <c r="AA116" s="59" t="s">
        <v>4</v>
      </c>
      <c r="AB116" s="59" t="s">
        <v>4</v>
      </c>
      <c r="AC116" s="72">
        <f t="shared" si="15"/>
        <v>1.000000000000002</v>
      </c>
      <c r="AD116" s="43" t="s">
        <v>4</v>
      </c>
      <c r="AE116" s="43" t="s">
        <v>4</v>
      </c>
      <c r="AF116" s="97">
        <f t="shared" si="16"/>
        <v>1</v>
      </c>
      <c r="AG116" s="44">
        <f t="shared" si="17"/>
        <v>1.0000000000000004</v>
      </c>
      <c r="AH116" s="55">
        <f t="shared" si="18"/>
        <v>0</v>
      </c>
      <c r="AI116" s="55">
        <f>COUNTIF('Score BD'!$M116:$P116,"no")</f>
        <v>0</v>
      </c>
      <c r="AJ116" s="55">
        <f t="shared" si="19"/>
        <v>0</v>
      </c>
      <c r="AK116" s="55">
        <f t="shared" si="20"/>
        <v>0</v>
      </c>
      <c r="AL116" s="55">
        <f t="shared" si="21"/>
        <v>0</v>
      </c>
      <c r="AM116" s="59" t="s">
        <v>580</v>
      </c>
      <c r="AN116" s="55"/>
      <c r="AO116" s="55"/>
      <c r="AP116" s="43"/>
      <c r="AQ116" s="59" t="str">
        <f>IFERROR(_xlfn.XLOOKUP(Tabla1[[#This Row],[Cedula agente]],Lista!$B$2:$B$97,Lista!$G$2:$G$97)," ")</f>
        <v>Luisa Fernanda Benavides Castrillon</v>
      </c>
      <c r="AR116" s="59" t="s">
        <v>162</v>
      </c>
      <c r="AS116" s="55" t="str">
        <f>IFERROR(_xlfn.XLOOKUP(Tabla1[[#This Row],[Cedula agente]],Lista!$B$2:$B$97,Lista!$F$2:$F$97)," ")</f>
        <v>John Sebastian Roncancio Avendaño</v>
      </c>
      <c r="AT116" s="99">
        <v>0.95</v>
      </c>
      <c r="AU116" s="200">
        <f>+WEEKNUM('Score BD'!$H116)-WEEKNUM(DATE(YEAR('Score BD'!$H116),MONTH('Score BD'!$H116),1))+1</f>
        <v>3</v>
      </c>
    </row>
    <row r="117" spans="1:47" ht="17.45" customHeight="1" x14ac:dyDescent="0.3">
      <c r="A117" s="49" t="str">
        <f t="shared" si="11"/>
        <v>Ministerio de Educación Nacional</v>
      </c>
      <c r="B117" s="50">
        <f>+IFERROR(COUNTIF($J$3:J117,J117)," ")</f>
        <v>5</v>
      </c>
      <c r="C117" s="54" t="str">
        <f>+'Score BD'!$J117&amp;'Score BD'!$B117</f>
        <v>Cristian Enrique Benitez Rodriguez5</v>
      </c>
      <c r="D117" s="91" t="s">
        <v>148</v>
      </c>
      <c r="E117" s="92" t="s">
        <v>165</v>
      </c>
      <c r="F117" s="92" t="s">
        <v>212</v>
      </c>
      <c r="G117" s="60" t="str">
        <f t="shared" si="12"/>
        <v>Noviembre</v>
      </c>
      <c r="H117" s="65">
        <v>45972</v>
      </c>
      <c r="I117" s="243">
        <v>45971</v>
      </c>
      <c r="J117" s="57" t="s">
        <v>173</v>
      </c>
      <c r="K117" s="54">
        <f>IFERROR(VLOOKUP('Score BD'!$J117,Lista!A:B,2,0)," ")</f>
        <v>1026574814</v>
      </c>
      <c r="L117" s="61" t="s">
        <v>366</v>
      </c>
      <c r="M117" s="59" t="s">
        <v>4</v>
      </c>
      <c r="N117" s="59" t="s">
        <v>4</v>
      </c>
      <c r="O117" s="59" t="s">
        <v>4</v>
      </c>
      <c r="P117" s="59" t="s">
        <v>4</v>
      </c>
      <c r="Q117" s="96">
        <f t="shared" si="13"/>
        <v>1</v>
      </c>
      <c r="R117" s="59" t="s">
        <v>4</v>
      </c>
      <c r="S117" s="59" t="s">
        <v>4</v>
      </c>
      <c r="T117" s="59" t="s">
        <v>4</v>
      </c>
      <c r="U117" s="59" t="s">
        <v>4</v>
      </c>
      <c r="V117" s="72">
        <f t="shared" si="14"/>
        <v>1</v>
      </c>
      <c r="W117" s="59" t="s">
        <v>4</v>
      </c>
      <c r="X117" s="59" t="s">
        <v>4</v>
      </c>
      <c r="Y117" s="59" t="s">
        <v>4</v>
      </c>
      <c r="Z117" s="59" t="s">
        <v>4</v>
      </c>
      <c r="AA117" s="59" t="s">
        <v>4</v>
      </c>
      <c r="AB117" s="59" t="s">
        <v>4</v>
      </c>
      <c r="AC117" s="72">
        <f t="shared" si="15"/>
        <v>1.000000000000002</v>
      </c>
      <c r="AD117" s="43" t="s">
        <v>4</v>
      </c>
      <c r="AE117" s="43" t="s">
        <v>4</v>
      </c>
      <c r="AF117" s="97">
        <f t="shared" si="16"/>
        <v>1</v>
      </c>
      <c r="AG117" s="44">
        <f t="shared" si="17"/>
        <v>1.0000000000000004</v>
      </c>
      <c r="AH117" s="55">
        <f t="shared" si="18"/>
        <v>0</v>
      </c>
      <c r="AI117" s="55">
        <f>COUNTIF('Score BD'!$M117:$P117,"no")</f>
        <v>0</v>
      </c>
      <c r="AJ117" s="55">
        <f t="shared" si="19"/>
        <v>0</v>
      </c>
      <c r="AK117" s="55">
        <f t="shared" si="20"/>
        <v>0</v>
      </c>
      <c r="AL117" s="55">
        <f t="shared" si="21"/>
        <v>0</v>
      </c>
      <c r="AM117" s="59" t="s">
        <v>580</v>
      </c>
      <c r="AN117" s="55"/>
      <c r="AO117" s="55"/>
      <c r="AP117" s="43"/>
      <c r="AQ117" s="59" t="str">
        <f>IFERROR(_xlfn.XLOOKUP(Tabla1[[#This Row],[Cedula agente]],Lista!$B$2:$B$97,Lista!$G$2:$G$97)," ")</f>
        <v>Luisa Fernanda Benavides Castrillon</v>
      </c>
      <c r="AR117" s="59" t="s">
        <v>162</v>
      </c>
      <c r="AS117" s="55" t="str">
        <f>IFERROR(_xlfn.XLOOKUP(Tabla1[[#This Row],[Cedula agente]],Lista!$B$2:$B$97,Lista!$F$2:$F$97)," ")</f>
        <v>John Sebastian Roncancio Avendaño</v>
      </c>
      <c r="AT117" s="99">
        <v>0.95</v>
      </c>
      <c r="AU117" s="200">
        <f>+WEEKNUM('Score BD'!$H117)-WEEKNUM(DATE(YEAR('Score BD'!$H117),MONTH('Score BD'!$H117),1))+1</f>
        <v>3</v>
      </c>
    </row>
    <row r="118" spans="1:47" ht="17.45" customHeight="1" x14ac:dyDescent="0.3">
      <c r="A118" s="49" t="str">
        <f t="shared" si="11"/>
        <v>Ministerio de Educación Nacional</v>
      </c>
      <c r="B118" s="50">
        <f>+IFERROR(COUNTIF($J$3:J118,J118)," ")</f>
        <v>12</v>
      </c>
      <c r="C118" s="54" t="str">
        <f>+'Score BD'!$J118&amp;'Score BD'!$B118</f>
        <v>Erika Natalia Ramírez Herrera12</v>
      </c>
      <c r="D118" s="91" t="s">
        <v>148</v>
      </c>
      <c r="E118" s="92" t="s">
        <v>164</v>
      </c>
      <c r="F118" s="92" t="s">
        <v>212</v>
      </c>
      <c r="G118" s="60" t="str">
        <f t="shared" si="12"/>
        <v>Noviembre</v>
      </c>
      <c r="H118" s="65">
        <v>45972</v>
      </c>
      <c r="I118" s="243">
        <v>45971</v>
      </c>
      <c r="J118" s="57" t="s">
        <v>174</v>
      </c>
      <c r="K118" s="54">
        <f>IFERROR(VLOOKUP('Score BD'!$J118,Lista!A:B,2,0)," ")</f>
        <v>1032367072</v>
      </c>
      <c r="L118" s="61" t="s">
        <v>367</v>
      </c>
      <c r="M118" s="59" t="s">
        <v>4</v>
      </c>
      <c r="N118" s="59" t="s">
        <v>4</v>
      </c>
      <c r="O118" s="59" t="s">
        <v>4</v>
      </c>
      <c r="P118" s="59" t="s">
        <v>4</v>
      </c>
      <c r="Q118" s="96">
        <f t="shared" si="13"/>
        <v>1</v>
      </c>
      <c r="R118" s="59" t="s">
        <v>4</v>
      </c>
      <c r="S118" s="59" t="s">
        <v>4</v>
      </c>
      <c r="T118" s="59" t="s">
        <v>4</v>
      </c>
      <c r="U118" s="59" t="s">
        <v>4</v>
      </c>
      <c r="V118" s="72">
        <f t="shared" si="14"/>
        <v>1</v>
      </c>
      <c r="W118" s="59" t="s">
        <v>4</v>
      </c>
      <c r="X118" s="59" t="s">
        <v>4</v>
      </c>
      <c r="Y118" s="59" t="s">
        <v>4</v>
      </c>
      <c r="Z118" s="59" t="s">
        <v>4</v>
      </c>
      <c r="AA118" s="59" t="s">
        <v>4</v>
      </c>
      <c r="AB118" s="59" t="s">
        <v>4</v>
      </c>
      <c r="AC118" s="72">
        <f t="shared" si="15"/>
        <v>1.000000000000002</v>
      </c>
      <c r="AD118" s="43" t="s">
        <v>4</v>
      </c>
      <c r="AE118" s="43" t="s">
        <v>4</v>
      </c>
      <c r="AF118" s="97">
        <f t="shared" si="16"/>
        <v>1</v>
      </c>
      <c r="AG118" s="44">
        <f t="shared" si="17"/>
        <v>1.0000000000000004</v>
      </c>
      <c r="AH118" s="55">
        <f t="shared" si="18"/>
        <v>0</v>
      </c>
      <c r="AI118" s="55">
        <f>COUNTIF('Score BD'!$M118:$P118,"no")</f>
        <v>0</v>
      </c>
      <c r="AJ118" s="55">
        <f t="shared" si="19"/>
        <v>0</v>
      </c>
      <c r="AK118" s="55">
        <f t="shared" si="20"/>
        <v>0</v>
      </c>
      <c r="AL118" s="55">
        <f t="shared" si="21"/>
        <v>0</v>
      </c>
      <c r="AM118" s="59" t="s">
        <v>580</v>
      </c>
      <c r="AN118" s="55"/>
      <c r="AO118" s="55"/>
      <c r="AP118" s="43"/>
      <c r="AQ118" s="59" t="str">
        <f>IFERROR(_xlfn.XLOOKUP(Tabla1[[#This Row],[Cedula agente]],Lista!$B$2:$B$97,Lista!$G$2:$G$97)," ")</f>
        <v>Luisa Fernanda Benavides Castrillon</v>
      </c>
      <c r="AR118" s="59" t="s">
        <v>162</v>
      </c>
      <c r="AS118" s="55" t="str">
        <f>IFERROR(_xlfn.XLOOKUP(Tabla1[[#This Row],[Cedula agente]],Lista!$B$2:$B$97,Lista!$F$2:$F$97)," ")</f>
        <v>John Sebastian Roncancio Avendaño</v>
      </c>
      <c r="AT118" s="99">
        <v>0.95</v>
      </c>
      <c r="AU118" s="200">
        <f>+WEEKNUM('Score BD'!$H118)-WEEKNUM(DATE(YEAR('Score BD'!$H118),MONTH('Score BD'!$H118),1))+1</f>
        <v>3</v>
      </c>
    </row>
    <row r="119" spans="1:47" ht="17.45" customHeight="1" x14ac:dyDescent="0.3">
      <c r="A119" s="49" t="str">
        <f t="shared" si="11"/>
        <v>Ministerio de Educación Nacional</v>
      </c>
      <c r="B119" s="50">
        <f>+IFERROR(COUNTIF($J$3:J119,J119)," ")</f>
        <v>13</v>
      </c>
      <c r="C119" s="54" t="str">
        <f>+'Score BD'!$J119&amp;'Score BD'!$B119</f>
        <v>Erika Natalia Ramírez Herrera13</v>
      </c>
      <c r="D119" s="91" t="s">
        <v>148</v>
      </c>
      <c r="E119" s="92" t="s">
        <v>164</v>
      </c>
      <c r="F119" s="92" t="s">
        <v>212</v>
      </c>
      <c r="G119" s="60" t="str">
        <f t="shared" si="12"/>
        <v>Noviembre</v>
      </c>
      <c r="H119" s="65">
        <v>45972</v>
      </c>
      <c r="I119" s="243">
        <v>45971</v>
      </c>
      <c r="J119" s="57" t="s">
        <v>174</v>
      </c>
      <c r="K119" s="54">
        <f>IFERROR(VLOOKUP('Score BD'!$J119,Lista!A:B,2,0)," ")</f>
        <v>1032367072</v>
      </c>
      <c r="L119" s="61" t="s">
        <v>368</v>
      </c>
      <c r="M119" s="59" t="s">
        <v>4</v>
      </c>
      <c r="N119" s="59" t="s">
        <v>4</v>
      </c>
      <c r="O119" s="59" t="s">
        <v>4</v>
      </c>
      <c r="P119" s="59" t="s">
        <v>4</v>
      </c>
      <c r="Q119" s="96">
        <f t="shared" si="13"/>
        <v>1</v>
      </c>
      <c r="R119" s="59" t="s">
        <v>4</v>
      </c>
      <c r="S119" s="59" t="s">
        <v>4</v>
      </c>
      <c r="T119" s="59" t="s">
        <v>4</v>
      </c>
      <c r="U119" s="59" t="s">
        <v>4</v>
      </c>
      <c r="V119" s="72">
        <f t="shared" si="14"/>
        <v>1</v>
      </c>
      <c r="W119" s="59" t="s">
        <v>4</v>
      </c>
      <c r="X119" s="59" t="s">
        <v>4</v>
      </c>
      <c r="Y119" s="59" t="s">
        <v>4</v>
      </c>
      <c r="Z119" s="59" t="s">
        <v>4</v>
      </c>
      <c r="AA119" s="59" t="s">
        <v>4</v>
      </c>
      <c r="AB119" s="59" t="s">
        <v>4</v>
      </c>
      <c r="AC119" s="72">
        <f t="shared" si="15"/>
        <v>1.000000000000002</v>
      </c>
      <c r="AD119" s="43" t="s">
        <v>4</v>
      </c>
      <c r="AE119" s="43" t="s">
        <v>4</v>
      </c>
      <c r="AF119" s="97">
        <f t="shared" si="16"/>
        <v>1</v>
      </c>
      <c r="AG119" s="44">
        <f t="shared" si="17"/>
        <v>1.0000000000000004</v>
      </c>
      <c r="AH119" s="55">
        <f t="shared" si="18"/>
        <v>0</v>
      </c>
      <c r="AI119" s="55">
        <f>COUNTIF('Score BD'!$M119:$P119,"no")</f>
        <v>0</v>
      </c>
      <c r="AJ119" s="55">
        <f t="shared" si="19"/>
        <v>0</v>
      </c>
      <c r="AK119" s="55">
        <f t="shared" si="20"/>
        <v>0</v>
      </c>
      <c r="AL119" s="55">
        <f t="shared" si="21"/>
        <v>0</v>
      </c>
      <c r="AM119" s="59" t="s">
        <v>580</v>
      </c>
      <c r="AN119" s="55"/>
      <c r="AO119" s="55"/>
      <c r="AP119" s="43"/>
      <c r="AQ119" s="59" t="str">
        <f>IFERROR(_xlfn.XLOOKUP(Tabla1[[#This Row],[Cedula agente]],Lista!$B$2:$B$97,Lista!$G$2:$G$97)," ")</f>
        <v>Luisa Fernanda Benavides Castrillon</v>
      </c>
      <c r="AR119" s="59" t="s">
        <v>162</v>
      </c>
      <c r="AS119" s="55" t="str">
        <f>IFERROR(_xlfn.XLOOKUP(Tabla1[[#This Row],[Cedula agente]],Lista!$B$2:$B$97,Lista!$F$2:$F$97)," ")</f>
        <v>John Sebastian Roncancio Avendaño</v>
      </c>
      <c r="AT119" s="99">
        <v>0.95</v>
      </c>
      <c r="AU119" s="200">
        <f>+WEEKNUM('Score BD'!$H119)-WEEKNUM(DATE(YEAR('Score BD'!$H119),MONTH('Score BD'!$H119),1))+1</f>
        <v>3</v>
      </c>
    </row>
    <row r="120" spans="1:47" ht="17.45" customHeight="1" x14ac:dyDescent="0.3">
      <c r="A120" s="49" t="str">
        <f t="shared" si="11"/>
        <v>Ministerio de Educación Nacional</v>
      </c>
      <c r="B120" s="50">
        <f>+IFERROR(COUNTIF($J$3:J120,J120)," ")</f>
        <v>14</v>
      </c>
      <c r="C120" s="54" t="str">
        <f>+'Score BD'!$J120&amp;'Score BD'!$B120</f>
        <v>Erika Natalia Ramírez Herrera14</v>
      </c>
      <c r="D120" s="91" t="s">
        <v>148</v>
      </c>
      <c r="E120" s="92" t="s">
        <v>164</v>
      </c>
      <c r="F120" s="92" t="s">
        <v>212</v>
      </c>
      <c r="G120" s="60" t="str">
        <f t="shared" si="12"/>
        <v>Noviembre</v>
      </c>
      <c r="H120" s="65">
        <v>45972</v>
      </c>
      <c r="I120" s="243">
        <v>45971</v>
      </c>
      <c r="J120" s="57" t="s">
        <v>174</v>
      </c>
      <c r="K120" s="54">
        <f>IFERROR(VLOOKUP('Score BD'!$J120,Lista!A:B,2,0)," ")</f>
        <v>1032367072</v>
      </c>
      <c r="L120" s="61" t="s">
        <v>369</v>
      </c>
      <c r="M120" s="59" t="s">
        <v>4</v>
      </c>
      <c r="N120" s="59" t="s">
        <v>4</v>
      </c>
      <c r="O120" s="59" t="s">
        <v>4</v>
      </c>
      <c r="P120" s="59" t="s">
        <v>4</v>
      </c>
      <c r="Q120" s="96">
        <f t="shared" si="13"/>
        <v>1</v>
      </c>
      <c r="R120" s="59" t="s">
        <v>4</v>
      </c>
      <c r="S120" s="59" t="s">
        <v>4</v>
      </c>
      <c r="T120" s="59" t="s">
        <v>4</v>
      </c>
      <c r="U120" s="59" t="s">
        <v>4</v>
      </c>
      <c r="V120" s="72">
        <f t="shared" si="14"/>
        <v>1</v>
      </c>
      <c r="W120" s="59" t="s">
        <v>4</v>
      </c>
      <c r="X120" s="59" t="s">
        <v>4</v>
      </c>
      <c r="Y120" s="59" t="s">
        <v>4</v>
      </c>
      <c r="Z120" s="59" t="s">
        <v>4</v>
      </c>
      <c r="AA120" s="59" t="s">
        <v>4</v>
      </c>
      <c r="AB120" s="59" t="s">
        <v>4</v>
      </c>
      <c r="AC120" s="72">
        <f t="shared" si="15"/>
        <v>1.000000000000002</v>
      </c>
      <c r="AD120" s="43" t="s">
        <v>4</v>
      </c>
      <c r="AE120" s="43" t="s">
        <v>4</v>
      </c>
      <c r="AF120" s="97">
        <f t="shared" si="16"/>
        <v>1</v>
      </c>
      <c r="AG120" s="44">
        <f t="shared" si="17"/>
        <v>1.0000000000000004</v>
      </c>
      <c r="AH120" s="55">
        <f t="shared" si="18"/>
        <v>0</v>
      </c>
      <c r="AI120" s="55">
        <f>COUNTIF('Score BD'!$M120:$P120,"no")</f>
        <v>0</v>
      </c>
      <c r="AJ120" s="55">
        <f t="shared" si="19"/>
        <v>0</v>
      </c>
      <c r="AK120" s="55">
        <f t="shared" si="20"/>
        <v>0</v>
      </c>
      <c r="AL120" s="55">
        <f t="shared" si="21"/>
        <v>0</v>
      </c>
      <c r="AM120" s="59" t="s">
        <v>580</v>
      </c>
      <c r="AN120" s="55"/>
      <c r="AO120" s="55"/>
      <c r="AP120" s="43"/>
      <c r="AQ120" s="59" t="str">
        <f>IFERROR(_xlfn.XLOOKUP(Tabla1[[#This Row],[Cedula agente]],Lista!$B$2:$B$97,Lista!$G$2:$G$97)," ")</f>
        <v>Luisa Fernanda Benavides Castrillon</v>
      </c>
      <c r="AR120" s="59" t="s">
        <v>162</v>
      </c>
      <c r="AS120" s="55" t="str">
        <f>IFERROR(_xlfn.XLOOKUP(Tabla1[[#This Row],[Cedula agente]],Lista!$B$2:$B$97,Lista!$F$2:$F$97)," ")</f>
        <v>John Sebastian Roncancio Avendaño</v>
      </c>
      <c r="AT120" s="99">
        <v>0.95</v>
      </c>
      <c r="AU120" s="200">
        <f>+WEEKNUM('Score BD'!$H120)-WEEKNUM(DATE(YEAR('Score BD'!$H120),MONTH('Score BD'!$H120),1))+1</f>
        <v>3</v>
      </c>
    </row>
    <row r="121" spans="1:47" ht="17.45" customHeight="1" x14ac:dyDescent="0.3">
      <c r="A121" s="49" t="str">
        <f t="shared" si="11"/>
        <v>Ministerio de Educación Nacional</v>
      </c>
      <c r="B121" s="50">
        <f>+IFERROR(COUNTIF($J$3:J121,J121)," ")</f>
        <v>6</v>
      </c>
      <c r="C121" s="54" t="str">
        <f>+'Score BD'!$J121&amp;'Score BD'!$B121</f>
        <v>Henry Eduardo Padilla Castilla6</v>
      </c>
      <c r="D121" s="91" t="s">
        <v>148</v>
      </c>
      <c r="E121" s="92" t="s">
        <v>165</v>
      </c>
      <c r="F121" s="92" t="s">
        <v>212</v>
      </c>
      <c r="G121" s="60" t="str">
        <f t="shared" si="12"/>
        <v>Noviembre</v>
      </c>
      <c r="H121" s="65">
        <v>45972</v>
      </c>
      <c r="I121" s="243">
        <v>45971</v>
      </c>
      <c r="J121" s="57" t="s">
        <v>175</v>
      </c>
      <c r="K121" s="54">
        <f>IFERROR(VLOOKUP('Score BD'!$J121,Lista!A:B,2,0)," ")</f>
        <v>1063968280</v>
      </c>
      <c r="L121" s="61" t="s">
        <v>370</v>
      </c>
      <c r="M121" s="59" t="s">
        <v>4</v>
      </c>
      <c r="N121" s="59" t="s">
        <v>4</v>
      </c>
      <c r="O121" s="59" t="s">
        <v>4</v>
      </c>
      <c r="P121" s="59" t="s">
        <v>4</v>
      </c>
      <c r="Q121" s="96">
        <f t="shared" si="13"/>
        <v>1</v>
      </c>
      <c r="R121" s="59" t="s">
        <v>4</v>
      </c>
      <c r="S121" s="59" t="s">
        <v>4</v>
      </c>
      <c r="T121" s="59" t="s">
        <v>4</v>
      </c>
      <c r="U121" s="59" t="s">
        <v>4</v>
      </c>
      <c r="V121" s="72">
        <f t="shared" si="14"/>
        <v>1</v>
      </c>
      <c r="W121" s="59" t="s">
        <v>4</v>
      </c>
      <c r="X121" s="59" t="s">
        <v>4</v>
      </c>
      <c r="Y121" s="59" t="s">
        <v>4</v>
      </c>
      <c r="Z121" s="59" t="s">
        <v>4</v>
      </c>
      <c r="AA121" s="59" t="s">
        <v>4</v>
      </c>
      <c r="AB121" s="59" t="s">
        <v>4</v>
      </c>
      <c r="AC121" s="72">
        <f t="shared" si="15"/>
        <v>1.000000000000002</v>
      </c>
      <c r="AD121" s="43" t="s">
        <v>4</v>
      </c>
      <c r="AE121" s="43" t="s">
        <v>4</v>
      </c>
      <c r="AF121" s="97">
        <f t="shared" si="16"/>
        <v>1</v>
      </c>
      <c r="AG121" s="44">
        <f t="shared" si="17"/>
        <v>1.0000000000000004</v>
      </c>
      <c r="AH121" s="55">
        <f t="shared" si="18"/>
        <v>0</v>
      </c>
      <c r="AI121" s="55">
        <f>COUNTIF('Score BD'!$M121:$P121,"no")</f>
        <v>0</v>
      </c>
      <c r="AJ121" s="55">
        <f t="shared" si="19"/>
        <v>0</v>
      </c>
      <c r="AK121" s="55">
        <f t="shared" si="20"/>
        <v>0</v>
      </c>
      <c r="AL121" s="55">
        <f t="shared" si="21"/>
        <v>0</v>
      </c>
      <c r="AM121" s="59" t="s">
        <v>580</v>
      </c>
      <c r="AN121" s="55"/>
      <c r="AO121" s="55"/>
      <c r="AP121" s="43"/>
      <c r="AQ121" s="59" t="str">
        <f>IFERROR(_xlfn.XLOOKUP(Tabla1[[#This Row],[Cedula agente]],Lista!$B$2:$B$97,Lista!$G$2:$G$97)," ")</f>
        <v>Luisa Fernanda Benavides Castrillon</v>
      </c>
      <c r="AR121" s="59" t="s">
        <v>162</v>
      </c>
      <c r="AS121" s="55" t="str">
        <f>IFERROR(_xlfn.XLOOKUP(Tabla1[[#This Row],[Cedula agente]],Lista!$B$2:$B$97,Lista!$F$2:$F$97)," ")</f>
        <v>John Sebastian Roncancio Avendaño</v>
      </c>
      <c r="AT121" s="99">
        <v>0.95</v>
      </c>
      <c r="AU121" s="200">
        <f>+WEEKNUM('Score BD'!$H121)-WEEKNUM(DATE(YEAR('Score BD'!$H121),MONTH('Score BD'!$H121),1))+1</f>
        <v>3</v>
      </c>
    </row>
    <row r="122" spans="1:47" ht="17.45" customHeight="1" x14ac:dyDescent="0.3">
      <c r="A122" s="49" t="str">
        <f t="shared" si="11"/>
        <v>Ministerio de Educación Nacional</v>
      </c>
      <c r="B122" s="50">
        <f>+IFERROR(COUNTIF($J$3:J122,J122)," ")</f>
        <v>9</v>
      </c>
      <c r="C122" s="54" t="str">
        <f>+'Score BD'!$J122&amp;'Score BD'!$B122</f>
        <v>Ingrid Carolina Monsalve Quintero9</v>
      </c>
      <c r="D122" s="91" t="s">
        <v>148</v>
      </c>
      <c r="E122" s="92" t="s">
        <v>164</v>
      </c>
      <c r="F122" s="92" t="s">
        <v>212</v>
      </c>
      <c r="G122" s="60" t="str">
        <f t="shared" si="12"/>
        <v>Noviembre</v>
      </c>
      <c r="H122" s="65">
        <v>45972</v>
      </c>
      <c r="I122" s="243">
        <v>45971</v>
      </c>
      <c r="J122" s="57" t="s">
        <v>176</v>
      </c>
      <c r="K122" s="54">
        <f>IFERROR(VLOOKUP('Score BD'!$J122,Lista!A:B,2,0)," ")</f>
        <v>52805909</v>
      </c>
      <c r="L122" s="61" t="s">
        <v>371</v>
      </c>
      <c r="M122" s="59" t="s">
        <v>4</v>
      </c>
      <c r="N122" s="59" t="s">
        <v>4</v>
      </c>
      <c r="O122" s="59" t="s">
        <v>4</v>
      </c>
      <c r="P122" s="59" t="s">
        <v>4</v>
      </c>
      <c r="Q122" s="96">
        <f t="shared" si="13"/>
        <v>1</v>
      </c>
      <c r="R122" s="59" t="s">
        <v>4</v>
      </c>
      <c r="S122" s="59" t="s">
        <v>4</v>
      </c>
      <c r="T122" s="59" t="s">
        <v>4</v>
      </c>
      <c r="U122" s="59" t="s">
        <v>4</v>
      </c>
      <c r="V122" s="72">
        <f t="shared" si="14"/>
        <v>1</v>
      </c>
      <c r="W122" s="59" t="s">
        <v>4</v>
      </c>
      <c r="X122" s="59" t="s">
        <v>4</v>
      </c>
      <c r="Y122" s="59" t="s">
        <v>4</v>
      </c>
      <c r="Z122" s="59" t="s">
        <v>4</v>
      </c>
      <c r="AA122" s="59" t="s">
        <v>4</v>
      </c>
      <c r="AB122" s="59" t="s">
        <v>4</v>
      </c>
      <c r="AC122" s="72">
        <f t="shared" si="15"/>
        <v>1.000000000000002</v>
      </c>
      <c r="AD122" s="43" t="s">
        <v>4</v>
      </c>
      <c r="AE122" s="43" t="s">
        <v>4</v>
      </c>
      <c r="AF122" s="97">
        <f t="shared" si="16"/>
        <v>1</v>
      </c>
      <c r="AG122" s="44">
        <f t="shared" si="17"/>
        <v>1.0000000000000004</v>
      </c>
      <c r="AH122" s="55">
        <f t="shared" si="18"/>
        <v>0</v>
      </c>
      <c r="AI122" s="55">
        <f>COUNTIF('Score BD'!$M122:$P122,"no")</f>
        <v>0</v>
      </c>
      <c r="AJ122" s="55">
        <f t="shared" si="19"/>
        <v>0</v>
      </c>
      <c r="AK122" s="55">
        <f t="shared" si="20"/>
        <v>0</v>
      </c>
      <c r="AL122" s="55">
        <f t="shared" si="21"/>
        <v>0</v>
      </c>
      <c r="AM122" s="59" t="s">
        <v>580</v>
      </c>
      <c r="AN122" s="55"/>
      <c r="AO122" s="55"/>
      <c r="AP122" s="43"/>
      <c r="AQ122" s="59" t="str">
        <f>IFERROR(_xlfn.XLOOKUP(Tabla1[[#This Row],[Cedula agente]],Lista!$B$2:$B$97,Lista!$G$2:$G$97)," ")</f>
        <v>Luisa Fernanda Benavides Castrillon</v>
      </c>
      <c r="AR122" s="59" t="s">
        <v>162</v>
      </c>
      <c r="AS122" s="55" t="str">
        <f>IFERROR(_xlfn.XLOOKUP(Tabla1[[#This Row],[Cedula agente]],Lista!$B$2:$B$97,Lista!$F$2:$F$97)," ")</f>
        <v>John Sebastian Roncancio Avendaño</v>
      </c>
      <c r="AT122" s="99">
        <v>0.95</v>
      </c>
      <c r="AU122" s="200">
        <f>+WEEKNUM('Score BD'!$H122)-WEEKNUM(DATE(YEAR('Score BD'!$H122),MONTH('Score BD'!$H122),1))+1</f>
        <v>3</v>
      </c>
    </row>
    <row r="123" spans="1:47" ht="17.45" customHeight="1" x14ac:dyDescent="0.3">
      <c r="A123" s="49" t="str">
        <f t="shared" si="11"/>
        <v>Ministerio de Educación Nacional</v>
      </c>
      <c r="B123" s="50">
        <f>+IFERROR(COUNTIF($J$3:J123,J123)," ")</f>
        <v>10</v>
      </c>
      <c r="C123" s="54" t="str">
        <f>+'Score BD'!$J123&amp;'Score BD'!$B123</f>
        <v>Ingrid Carolina Monsalve Quintero10</v>
      </c>
      <c r="D123" s="91" t="s">
        <v>148</v>
      </c>
      <c r="E123" s="92" t="s">
        <v>164</v>
      </c>
      <c r="F123" s="92" t="s">
        <v>212</v>
      </c>
      <c r="G123" s="60" t="str">
        <f t="shared" si="12"/>
        <v>Noviembre</v>
      </c>
      <c r="H123" s="65">
        <v>45972</v>
      </c>
      <c r="I123" s="243">
        <v>45971</v>
      </c>
      <c r="J123" s="57" t="s">
        <v>176</v>
      </c>
      <c r="K123" s="54">
        <f>IFERROR(VLOOKUP('Score BD'!$J123,Lista!A:B,2,0)," ")</f>
        <v>52805909</v>
      </c>
      <c r="L123" s="61" t="s">
        <v>372</v>
      </c>
      <c r="M123" s="59" t="s">
        <v>4</v>
      </c>
      <c r="N123" s="59" t="s">
        <v>4</v>
      </c>
      <c r="O123" s="59" t="s">
        <v>4</v>
      </c>
      <c r="P123" s="59" t="s">
        <v>4</v>
      </c>
      <c r="Q123" s="96">
        <f t="shared" si="13"/>
        <v>1</v>
      </c>
      <c r="R123" s="59" t="s">
        <v>4</v>
      </c>
      <c r="S123" s="59" t="s">
        <v>4</v>
      </c>
      <c r="T123" s="59" t="s">
        <v>4</v>
      </c>
      <c r="U123" s="59" t="s">
        <v>4</v>
      </c>
      <c r="V123" s="72">
        <f t="shared" si="14"/>
        <v>1</v>
      </c>
      <c r="W123" s="59" t="s">
        <v>4</v>
      </c>
      <c r="X123" s="59" t="s">
        <v>4</v>
      </c>
      <c r="Y123" s="59" t="s">
        <v>4</v>
      </c>
      <c r="Z123" s="59" t="s">
        <v>4</v>
      </c>
      <c r="AA123" s="59" t="s">
        <v>4</v>
      </c>
      <c r="AB123" s="59" t="s">
        <v>4</v>
      </c>
      <c r="AC123" s="72">
        <f t="shared" si="15"/>
        <v>1.000000000000002</v>
      </c>
      <c r="AD123" s="43" t="s">
        <v>4</v>
      </c>
      <c r="AE123" s="43" t="s">
        <v>4</v>
      </c>
      <c r="AF123" s="97">
        <f t="shared" si="16"/>
        <v>1</v>
      </c>
      <c r="AG123" s="44">
        <f t="shared" si="17"/>
        <v>1.0000000000000004</v>
      </c>
      <c r="AH123" s="55">
        <f t="shared" si="18"/>
        <v>0</v>
      </c>
      <c r="AI123" s="55">
        <f>COUNTIF('Score BD'!$M123:$P123,"no")</f>
        <v>0</v>
      </c>
      <c r="AJ123" s="55">
        <f t="shared" si="19"/>
        <v>0</v>
      </c>
      <c r="AK123" s="55">
        <f t="shared" si="20"/>
        <v>0</v>
      </c>
      <c r="AL123" s="55">
        <f t="shared" si="21"/>
        <v>0</v>
      </c>
      <c r="AM123" s="59" t="s">
        <v>580</v>
      </c>
      <c r="AN123" s="55"/>
      <c r="AO123" s="55"/>
      <c r="AP123" s="43"/>
      <c r="AQ123" s="59" t="str">
        <f>IFERROR(_xlfn.XLOOKUP(Tabla1[[#This Row],[Cedula agente]],Lista!$B$2:$B$97,Lista!$G$2:$G$97)," ")</f>
        <v>Luisa Fernanda Benavides Castrillon</v>
      </c>
      <c r="AR123" s="59" t="s">
        <v>162</v>
      </c>
      <c r="AS123" s="55" t="str">
        <f>IFERROR(_xlfn.XLOOKUP(Tabla1[[#This Row],[Cedula agente]],Lista!$B$2:$B$97,Lista!$F$2:$F$97)," ")</f>
        <v>John Sebastian Roncancio Avendaño</v>
      </c>
      <c r="AT123" s="99">
        <v>0.95</v>
      </c>
      <c r="AU123" s="200">
        <f>+WEEKNUM('Score BD'!$H123)-WEEKNUM(DATE(YEAR('Score BD'!$H123),MONTH('Score BD'!$H123),1))+1</f>
        <v>3</v>
      </c>
    </row>
    <row r="124" spans="1:47" ht="17.45" customHeight="1" x14ac:dyDescent="0.3">
      <c r="A124" s="49" t="str">
        <f t="shared" si="11"/>
        <v>Ministerio de Educación Nacional</v>
      </c>
      <c r="B124" s="50">
        <f>+IFERROR(COUNTIF($J$3:J124,J124)," ")</f>
        <v>4</v>
      </c>
      <c r="C124" s="54" t="str">
        <f>+'Score BD'!$J124&amp;'Score BD'!$B124</f>
        <v>Jesus David Hernandez Fernandez de Castro4</v>
      </c>
      <c r="D124" s="91" t="s">
        <v>148</v>
      </c>
      <c r="E124" s="92" t="s">
        <v>208</v>
      </c>
      <c r="F124" s="92" t="s">
        <v>212</v>
      </c>
      <c r="G124" s="60" t="str">
        <f t="shared" si="12"/>
        <v>Noviembre</v>
      </c>
      <c r="H124" s="65">
        <v>45972</v>
      </c>
      <c r="I124" s="243">
        <v>45971</v>
      </c>
      <c r="J124" s="57" t="s">
        <v>177</v>
      </c>
      <c r="K124" s="54">
        <f>IFERROR(VLOOKUP('Score BD'!$J124,Lista!A:B,2,0)," ")</f>
        <v>1083038013</v>
      </c>
      <c r="L124" s="61" t="s">
        <v>373</v>
      </c>
      <c r="M124" s="59" t="s">
        <v>4</v>
      </c>
      <c r="N124" s="59" t="s">
        <v>4</v>
      </c>
      <c r="O124" s="59" t="s">
        <v>4</v>
      </c>
      <c r="P124" s="59" t="s">
        <v>4</v>
      </c>
      <c r="Q124" s="96">
        <f t="shared" si="13"/>
        <v>1</v>
      </c>
      <c r="R124" s="59" t="s">
        <v>4</v>
      </c>
      <c r="S124" s="59" t="s">
        <v>4</v>
      </c>
      <c r="T124" s="59" t="s">
        <v>4</v>
      </c>
      <c r="U124" s="59" t="s">
        <v>4</v>
      </c>
      <c r="V124" s="72">
        <f t="shared" si="14"/>
        <v>1</v>
      </c>
      <c r="W124" s="59" t="s">
        <v>4</v>
      </c>
      <c r="X124" s="59" t="s">
        <v>4</v>
      </c>
      <c r="Y124" s="59" t="s">
        <v>4</v>
      </c>
      <c r="Z124" s="59" t="s">
        <v>4</v>
      </c>
      <c r="AA124" s="59" t="s">
        <v>4</v>
      </c>
      <c r="AB124" s="59" t="s">
        <v>4</v>
      </c>
      <c r="AC124" s="72">
        <f t="shared" si="15"/>
        <v>1.000000000000002</v>
      </c>
      <c r="AD124" s="43" t="s">
        <v>4</v>
      </c>
      <c r="AE124" s="43" t="s">
        <v>4</v>
      </c>
      <c r="AF124" s="97">
        <f t="shared" si="16"/>
        <v>1</v>
      </c>
      <c r="AG124" s="44">
        <f t="shared" si="17"/>
        <v>1.0000000000000004</v>
      </c>
      <c r="AH124" s="55">
        <f t="shared" si="18"/>
        <v>0</v>
      </c>
      <c r="AI124" s="55">
        <f>COUNTIF('Score BD'!$M124:$P124,"no")</f>
        <v>0</v>
      </c>
      <c r="AJ124" s="55">
        <f t="shared" si="19"/>
        <v>0</v>
      </c>
      <c r="AK124" s="55">
        <f t="shared" si="20"/>
        <v>0</v>
      </c>
      <c r="AL124" s="55">
        <f t="shared" si="21"/>
        <v>0</v>
      </c>
      <c r="AM124" s="59" t="s">
        <v>580</v>
      </c>
      <c r="AN124" s="55"/>
      <c r="AO124" s="55"/>
      <c r="AP124" s="43"/>
      <c r="AQ124" s="59" t="str">
        <f>IFERROR(_xlfn.XLOOKUP(Tabla1[[#This Row],[Cedula agente]],Lista!$B$2:$B$97,Lista!$G$2:$G$97)," ")</f>
        <v>Luisa Fernanda Benavides Castrillon</v>
      </c>
      <c r="AR124" s="59" t="s">
        <v>162</v>
      </c>
      <c r="AS124" s="55" t="str">
        <f>IFERROR(_xlfn.XLOOKUP(Tabla1[[#This Row],[Cedula agente]],Lista!$B$2:$B$97,Lista!$F$2:$F$97)," ")</f>
        <v>John Sebastian Roncancio Avendaño</v>
      </c>
      <c r="AT124" s="99">
        <v>0.95</v>
      </c>
      <c r="AU124" s="200">
        <f>+WEEKNUM('Score BD'!$H124)-WEEKNUM(DATE(YEAR('Score BD'!$H124),MONTH('Score BD'!$H124),1))+1</f>
        <v>3</v>
      </c>
    </row>
    <row r="125" spans="1:47" ht="17.45" customHeight="1" x14ac:dyDescent="0.3">
      <c r="A125" s="49" t="str">
        <f t="shared" si="11"/>
        <v>Ministerio de Educación Nacional</v>
      </c>
      <c r="B125" s="50">
        <f>+IFERROR(COUNTIF($J$3:J125,J125)," ")</f>
        <v>8</v>
      </c>
      <c r="C125" s="54" t="str">
        <f>+'Score BD'!$J125&amp;'Score BD'!$B125</f>
        <v>Juan Jose Santoya Medina8</v>
      </c>
      <c r="D125" s="91" t="s">
        <v>148</v>
      </c>
      <c r="E125" s="92" t="s">
        <v>165</v>
      </c>
      <c r="F125" s="92" t="s">
        <v>212</v>
      </c>
      <c r="G125" s="60" t="str">
        <f t="shared" si="12"/>
        <v>Noviembre</v>
      </c>
      <c r="H125" s="65">
        <v>45972</v>
      </c>
      <c r="I125" s="243">
        <v>45971</v>
      </c>
      <c r="J125" s="57" t="s">
        <v>178</v>
      </c>
      <c r="K125" s="54">
        <f>IFERROR(VLOOKUP('Score BD'!$J125,Lista!A:B,2,0)," ")</f>
        <v>1053345183</v>
      </c>
      <c r="L125" s="61" t="s">
        <v>374</v>
      </c>
      <c r="M125" s="59" t="s">
        <v>4</v>
      </c>
      <c r="N125" s="59" t="s">
        <v>4</v>
      </c>
      <c r="O125" s="59" t="s">
        <v>4</v>
      </c>
      <c r="P125" s="59" t="s">
        <v>4</v>
      </c>
      <c r="Q125" s="96">
        <f t="shared" si="13"/>
        <v>1</v>
      </c>
      <c r="R125" s="59" t="s">
        <v>4</v>
      </c>
      <c r="S125" s="59" t="s">
        <v>4</v>
      </c>
      <c r="T125" s="59" t="s">
        <v>4</v>
      </c>
      <c r="U125" s="59" t="s">
        <v>4</v>
      </c>
      <c r="V125" s="72">
        <f t="shared" si="14"/>
        <v>1</v>
      </c>
      <c r="W125" s="59" t="s">
        <v>4</v>
      </c>
      <c r="X125" s="59" t="s">
        <v>4</v>
      </c>
      <c r="Y125" s="59" t="s">
        <v>4</v>
      </c>
      <c r="Z125" s="59" t="s">
        <v>4</v>
      </c>
      <c r="AA125" s="59" t="s">
        <v>4</v>
      </c>
      <c r="AB125" s="59" t="s">
        <v>4</v>
      </c>
      <c r="AC125" s="72">
        <f t="shared" si="15"/>
        <v>1.000000000000002</v>
      </c>
      <c r="AD125" s="43" t="s">
        <v>4</v>
      </c>
      <c r="AE125" s="43" t="s">
        <v>4</v>
      </c>
      <c r="AF125" s="97">
        <f t="shared" si="16"/>
        <v>1</v>
      </c>
      <c r="AG125" s="44">
        <f t="shared" si="17"/>
        <v>1.0000000000000004</v>
      </c>
      <c r="AH125" s="55">
        <f t="shared" si="18"/>
        <v>0</v>
      </c>
      <c r="AI125" s="55">
        <f>COUNTIF('Score BD'!$M125:$P125,"no")</f>
        <v>0</v>
      </c>
      <c r="AJ125" s="55">
        <f t="shared" si="19"/>
        <v>0</v>
      </c>
      <c r="AK125" s="55">
        <f t="shared" si="20"/>
        <v>0</v>
      </c>
      <c r="AL125" s="55">
        <f t="shared" si="21"/>
        <v>0</v>
      </c>
      <c r="AM125" s="59" t="s">
        <v>580</v>
      </c>
      <c r="AN125" s="55"/>
      <c r="AO125" s="55"/>
      <c r="AP125" s="43"/>
      <c r="AQ125" s="59" t="str">
        <f>IFERROR(_xlfn.XLOOKUP(Tabla1[[#This Row],[Cedula agente]],Lista!$B$2:$B$97,Lista!$G$2:$G$97)," ")</f>
        <v>Luisa Fernanda Benavides Castrillon</v>
      </c>
      <c r="AR125" s="59" t="s">
        <v>162</v>
      </c>
      <c r="AS125" s="55" t="str">
        <f>IFERROR(_xlfn.XLOOKUP(Tabla1[[#This Row],[Cedula agente]],Lista!$B$2:$B$97,Lista!$F$2:$F$97)," ")</f>
        <v>John Sebastian Roncancio Avendaño</v>
      </c>
      <c r="AT125" s="99">
        <v>0.95</v>
      </c>
      <c r="AU125" s="200">
        <f>+WEEKNUM('Score BD'!$H125)-WEEKNUM(DATE(YEAR('Score BD'!$H125),MONTH('Score BD'!$H125),1))+1</f>
        <v>3</v>
      </c>
    </row>
    <row r="126" spans="1:47" s="51" customFormat="1" ht="17.45" customHeight="1" x14ac:dyDescent="0.3">
      <c r="A126" s="49" t="str">
        <f t="shared" si="11"/>
        <v>Ministerio de Educación Nacional</v>
      </c>
      <c r="B126" s="50">
        <f>+IFERROR(COUNTIF($J$3:J126,J126)," ")</f>
        <v>9</v>
      </c>
      <c r="C126" s="54" t="str">
        <f>+'Score BD'!$J126&amp;'Score BD'!$B126</f>
        <v>Juan Jose Santoya Medina9</v>
      </c>
      <c r="D126" s="91" t="s">
        <v>148</v>
      </c>
      <c r="E126" s="92" t="s">
        <v>165</v>
      </c>
      <c r="F126" s="92" t="s">
        <v>212</v>
      </c>
      <c r="G126" s="60" t="str">
        <f t="shared" si="12"/>
        <v>Noviembre</v>
      </c>
      <c r="H126" s="65">
        <v>45972</v>
      </c>
      <c r="I126" s="243">
        <v>45971</v>
      </c>
      <c r="J126" s="57" t="s">
        <v>178</v>
      </c>
      <c r="K126" s="52">
        <f>IFERROR(VLOOKUP('Score BD'!$J126,Lista!A:B,2,0)," ")</f>
        <v>1053345183</v>
      </c>
      <c r="L126" s="61" t="s">
        <v>375</v>
      </c>
      <c r="M126" s="59" t="s">
        <v>4</v>
      </c>
      <c r="N126" s="59" t="s">
        <v>4</v>
      </c>
      <c r="O126" s="59" t="s">
        <v>4</v>
      </c>
      <c r="P126" s="59" t="s">
        <v>4</v>
      </c>
      <c r="Q126" s="96">
        <f t="shared" si="13"/>
        <v>1</v>
      </c>
      <c r="R126" s="59" t="s">
        <v>4</v>
      </c>
      <c r="S126" s="59" t="s">
        <v>4</v>
      </c>
      <c r="T126" s="59" t="s">
        <v>4</v>
      </c>
      <c r="U126" s="59" t="s">
        <v>4</v>
      </c>
      <c r="V126" s="45">
        <f t="shared" si="14"/>
        <v>1</v>
      </c>
      <c r="W126" s="59" t="s">
        <v>4</v>
      </c>
      <c r="X126" s="59" t="s">
        <v>4</v>
      </c>
      <c r="Y126" s="59" t="s">
        <v>4</v>
      </c>
      <c r="Z126" s="59" t="s">
        <v>4</v>
      </c>
      <c r="AA126" s="59" t="s">
        <v>4</v>
      </c>
      <c r="AB126" s="59" t="s">
        <v>4</v>
      </c>
      <c r="AC126" s="45">
        <f t="shared" si="15"/>
        <v>1.000000000000002</v>
      </c>
      <c r="AD126" s="43" t="s">
        <v>4</v>
      </c>
      <c r="AE126" s="43" t="s">
        <v>4</v>
      </c>
      <c r="AF126" s="97">
        <f t="shared" si="16"/>
        <v>1</v>
      </c>
      <c r="AG126" s="44">
        <f t="shared" si="17"/>
        <v>1.0000000000000004</v>
      </c>
      <c r="AH126" s="47">
        <f t="shared" si="18"/>
        <v>0</v>
      </c>
      <c r="AI126" s="47">
        <f>COUNTIF('Score BD'!$M126:$P126,"no")</f>
        <v>0</v>
      </c>
      <c r="AJ126" s="47">
        <f t="shared" si="19"/>
        <v>0</v>
      </c>
      <c r="AK126" s="47">
        <f t="shared" si="20"/>
        <v>0</v>
      </c>
      <c r="AL126" s="47">
        <f t="shared" si="21"/>
        <v>0</v>
      </c>
      <c r="AM126" s="59" t="s">
        <v>580</v>
      </c>
      <c r="AN126" s="46"/>
      <c r="AO126" s="43"/>
      <c r="AP126" s="43"/>
      <c r="AQ126" s="59" t="str">
        <f>IFERROR(_xlfn.XLOOKUP(Tabla1[[#This Row],[Cedula agente]],Lista!$B$2:$B$97,Lista!$G$2:$G$97)," ")</f>
        <v>Luisa Fernanda Benavides Castrillon</v>
      </c>
      <c r="AR126" s="59" t="s">
        <v>162</v>
      </c>
      <c r="AS126" s="47" t="str">
        <f>IFERROR(_xlfn.XLOOKUP(Tabla1[[#This Row],[Cedula agente]],Lista!$B$2:$B$97,Lista!$F$2:$F$97)," ")</f>
        <v>John Sebastian Roncancio Avendaño</v>
      </c>
      <c r="AT126" s="99">
        <v>0.95</v>
      </c>
      <c r="AU126" s="199">
        <f>+WEEKNUM('Score BD'!$H126)-WEEKNUM(DATE(YEAR('Score BD'!$H126),MONTH('Score BD'!$H126),1))+1</f>
        <v>3</v>
      </c>
    </row>
    <row r="127" spans="1:47" s="51" customFormat="1" ht="17.45" customHeight="1" x14ac:dyDescent="0.3">
      <c r="A127" s="49" t="str">
        <f t="shared" si="11"/>
        <v>Ministerio de Educación Nacional</v>
      </c>
      <c r="B127" s="50">
        <f>+IFERROR(COUNTIF($J$3:J127,J127)," ")</f>
        <v>6</v>
      </c>
      <c r="C127" s="54" t="str">
        <f>+'Score BD'!$J127&amp;'Score BD'!$B127</f>
        <v>Juan Sebastián Suárez Morales6</v>
      </c>
      <c r="D127" s="91" t="s">
        <v>148</v>
      </c>
      <c r="E127" s="92" t="s">
        <v>165</v>
      </c>
      <c r="F127" s="92" t="s">
        <v>212</v>
      </c>
      <c r="G127" s="60" t="str">
        <f t="shared" si="12"/>
        <v>Noviembre</v>
      </c>
      <c r="H127" s="65">
        <v>45972</v>
      </c>
      <c r="I127" s="243">
        <v>45971</v>
      </c>
      <c r="J127" s="57" t="s">
        <v>179</v>
      </c>
      <c r="K127" s="52">
        <f>IFERROR(VLOOKUP('Score BD'!$J127,Lista!A:B,2,0)," ")</f>
        <v>1030541070</v>
      </c>
      <c r="L127" s="61" t="s">
        <v>376</v>
      </c>
      <c r="M127" s="59" t="s">
        <v>4</v>
      </c>
      <c r="N127" s="59" t="s">
        <v>4</v>
      </c>
      <c r="O127" s="59" t="s">
        <v>4</v>
      </c>
      <c r="P127" s="59" t="s">
        <v>4</v>
      </c>
      <c r="Q127" s="96">
        <f t="shared" si="13"/>
        <v>1</v>
      </c>
      <c r="R127" s="59" t="s">
        <v>4</v>
      </c>
      <c r="S127" s="59" t="s">
        <v>4</v>
      </c>
      <c r="T127" s="59" t="s">
        <v>4</v>
      </c>
      <c r="U127" s="59" t="s">
        <v>4</v>
      </c>
      <c r="V127" s="45">
        <f t="shared" si="14"/>
        <v>1</v>
      </c>
      <c r="W127" s="59" t="s">
        <v>4</v>
      </c>
      <c r="X127" s="59" t="s">
        <v>4</v>
      </c>
      <c r="Y127" s="59" t="s">
        <v>4</v>
      </c>
      <c r="Z127" s="59" t="s">
        <v>4</v>
      </c>
      <c r="AA127" s="59" t="s">
        <v>4</v>
      </c>
      <c r="AB127" s="59" t="s">
        <v>4</v>
      </c>
      <c r="AC127" s="45">
        <f t="shared" si="15"/>
        <v>1.000000000000002</v>
      </c>
      <c r="AD127" s="43" t="s">
        <v>4</v>
      </c>
      <c r="AE127" s="43" t="s">
        <v>4</v>
      </c>
      <c r="AF127" s="97">
        <f t="shared" si="16"/>
        <v>1</v>
      </c>
      <c r="AG127" s="44">
        <f t="shared" si="17"/>
        <v>1.0000000000000004</v>
      </c>
      <c r="AH127" s="47">
        <f t="shared" si="18"/>
        <v>0</v>
      </c>
      <c r="AI127" s="47">
        <f>COUNTIF('Score BD'!$M127:$P127,"no")</f>
        <v>0</v>
      </c>
      <c r="AJ127" s="47">
        <f t="shared" si="19"/>
        <v>0</v>
      </c>
      <c r="AK127" s="47">
        <f t="shared" si="20"/>
        <v>0</v>
      </c>
      <c r="AL127" s="47">
        <f t="shared" si="21"/>
        <v>0</v>
      </c>
      <c r="AM127" s="59" t="s">
        <v>580</v>
      </c>
      <c r="AN127" s="46"/>
      <c r="AO127" s="46"/>
      <c r="AP127" s="46"/>
      <c r="AQ127" s="59" t="str">
        <f>IFERROR(_xlfn.XLOOKUP(Tabla1[[#This Row],[Cedula agente]],Lista!$B$2:$B$97,Lista!$G$2:$G$97)," ")</f>
        <v>Luisa Fernanda Benavides Castrillon</v>
      </c>
      <c r="AR127" s="59" t="s">
        <v>162</v>
      </c>
      <c r="AS127" s="47" t="str">
        <f>IFERROR(_xlfn.XLOOKUP(Tabla1[[#This Row],[Cedula agente]],Lista!$B$2:$B$97,Lista!$F$2:$F$97)," ")</f>
        <v>John Sebastian Roncancio Avendaño</v>
      </c>
      <c r="AT127" s="99">
        <v>0.95</v>
      </c>
      <c r="AU127" s="199">
        <f>+WEEKNUM('Score BD'!$H127)-WEEKNUM(DATE(YEAR('Score BD'!$H127),MONTH('Score BD'!$H127),1))+1</f>
        <v>3</v>
      </c>
    </row>
    <row r="128" spans="1:47" s="51" customFormat="1" ht="17.45" customHeight="1" x14ac:dyDescent="0.3">
      <c r="A128" s="49" t="str">
        <f>+IF(B128&gt;0,"Ministerio de Educación Nacional"," ")</f>
        <v>Ministerio de Educación Nacional</v>
      </c>
      <c r="B128" s="50">
        <f>+IFERROR(COUNTIF($J$3:J128,J128)," ")</f>
        <v>7</v>
      </c>
      <c r="C128" s="54" t="str">
        <f>+'Score BD'!$J128&amp;'Score BD'!$B128</f>
        <v>Juan Sebastián Suárez Morales7</v>
      </c>
      <c r="D128" s="91" t="s">
        <v>148</v>
      </c>
      <c r="E128" s="92" t="s">
        <v>165</v>
      </c>
      <c r="F128" s="92" t="s">
        <v>212</v>
      </c>
      <c r="G128" s="60" t="str">
        <f>+PROPER(TEXT(H128,"mmmm"))</f>
        <v>Noviembre</v>
      </c>
      <c r="H128" s="65">
        <v>45972</v>
      </c>
      <c r="I128" s="243">
        <v>45971</v>
      </c>
      <c r="J128" s="57" t="s">
        <v>179</v>
      </c>
      <c r="K128" s="52">
        <f>IFERROR(VLOOKUP('Score BD'!$J128,Lista!A:B,2,0)," ")</f>
        <v>1030541070</v>
      </c>
      <c r="L128" s="61" t="s">
        <v>377</v>
      </c>
      <c r="M128" s="59" t="s">
        <v>4</v>
      </c>
      <c r="N128" s="59" t="s">
        <v>4</v>
      </c>
      <c r="O128" s="59" t="s">
        <v>4</v>
      </c>
      <c r="P128" s="59" t="s">
        <v>4</v>
      </c>
      <c r="Q128" s="96">
        <f>+IF(M128="NO",0,25%)+IF(N128="NO",0,25%)+IF(O128="NO",0,25%)+IF(P128="NO",0,25%)</f>
        <v>1</v>
      </c>
      <c r="R128" s="59" t="s">
        <v>4</v>
      </c>
      <c r="S128" s="59" t="s">
        <v>4</v>
      </c>
      <c r="T128" s="59" t="s">
        <v>4</v>
      </c>
      <c r="U128" s="59" t="s">
        <v>4</v>
      </c>
      <c r="V128" s="45">
        <f>+IF(R128="NO",0,25%)+IF(S128="NO",0,25%)+IF(T128="NO",0,25%)+IF(U128="NO",0,25%)</f>
        <v>1</v>
      </c>
      <c r="W128" s="59" t="s">
        <v>4</v>
      </c>
      <c r="X128" s="59" t="s">
        <v>4</v>
      </c>
      <c r="Y128" s="59" t="s">
        <v>4</v>
      </c>
      <c r="Z128" s="59" t="s">
        <v>4</v>
      </c>
      <c r="AA128" s="59" t="s">
        <v>4</v>
      </c>
      <c r="AB128" s="59" t="s">
        <v>4</v>
      </c>
      <c r="AC128" s="45">
        <f>+IF(W128="NO",0%,16.6666666666667%)+IF(X128="NO",0%,16.6666666666667%)+IF(Y128="NO",0%,16.6666666666667%)+IF(Z128="NO",0%,16.6666666666667%)+IF(AA128="NO",0%,16.6666666666667%)+IF(AB128="NO",0%,16.6666666666667%)</f>
        <v>1.000000000000002</v>
      </c>
      <c r="AD128" s="43" t="s">
        <v>4</v>
      </c>
      <c r="AE128" s="43" t="s">
        <v>4</v>
      </c>
      <c r="AF128" s="97">
        <f>+IF(AD128="NO",0%,50%)+IF(AE128="NO",0%,50%)</f>
        <v>1</v>
      </c>
      <c r="AG128" s="44">
        <f>AVERAGE(AF128,AC128,V128,Q128)</f>
        <v>1.0000000000000004</v>
      </c>
      <c r="AH128" s="47">
        <f>+COUNTIF(W128:AB128,"no")+COUNTIF(R128:U128,"no")+COUNTIF(AD128:AE128,"no")</f>
        <v>0</v>
      </c>
      <c r="AI128" s="47">
        <f>COUNTIF('Score BD'!$M128:$P128,"no")</f>
        <v>0</v>
      </c>
      <c r="AJ128" s="47">
        <f>+IF(COUNTA(R128:U128)=0,"-",COUNTIF(R128:U128,"NO"))</f>
        <v>0</v>
      </c>
      <c r="AK128" s="47">
        <f>+IF(COUNTA(W128:AB128)=0,"-",COUNTIF(W128:AB128,"NO"))</f>
        <v>0</v>
      </c>
      <c r="AL128" s="47">
        <f>+IF(COUNTA(AD128:AE128)=0,"-",COUNTIF(AD128:AE128,"NO"))</f>
        <v>0</v>
      </c>
      <c r="AM128" s="59" t="s">
        <v>580</v>
      </c>
      <c r="AN128" s="59"/>
      <c r="AO128" s="102"/>
      <c r="AP128" s="59"/>
      <c r="AQ128" s="59" t="str">
        <f>IFERROR(_xlfn.XLOOKUP(Tabla1[[#This Row],[Cedula agente]],Lista!$B$2:$B$97,Lista!$G$2:$G$97)," ")</f>
        <v>Luisa Fernanda Benavides Castrillon</v>
      </c>
      <c r="AR128" s="59" t="s">
        <v>162</v>
      </c>
      <c r="AS128" s="47" t="str">
        <f>IFERROR(_xlfn.XLOOKUP(Tabla1[[#This Row],[Cedula agente]],Lista!$B$2:$B$97,Lista!$F$2:$F$97)," ")</f>
        <v>John Sebastian Roncancio Avendaño</v>
      </c>
      <c r="AT128" s="99">
        <v>0.95</v>
      </c>
      <c r="AU128" s="199">
        <f>+WEEKNUM('Score BD'!$H128)-WEEKNUM(DATE(YEAR('Score BD'!$H128),MONTH('Score BD'!$H128),1))+1</f>
        <v>3</v>
      </c>
    </row>
    <row r="129" spans="1:47" s="51" customFormat="1" ht="17.45" customHeight="1" x14ac:dyDescent="0.3">
      <c r="A129" s="49" t="str">
        <f t="shared" si="11"/>
        <v>Ministerio de Educación Nacional</v>
      </c>
      <c r="B129" s="50">
        <f>+IFERROR(COUNTIF($J$3:J129,J129)," ")</f>
        <v>5</v>
      </c>
      <c r="C129" s="54" t="str">
        <f>+'Score BD'!$J129&amp;'Score BD'!$B129</f>
        <v>Laura Juliana Rueda Durán5</v>
      </c>
      <c r="D129" s="91" t="s">
        <v>148</v>
      </c>
      <c r="E129" s="92" t="s">
        <v>165</v>
      </c>
      <c r="F129" s="92" t="s">
        <v>212</v>
      </c>
      <c r="G129" s="60" t="str">
        <f t="shared" si="12"/>
        <v>Noviembre</v>
      </c>
      <c r="H129" s="65">
        <v>45972</v>
      </c>
      <c r="I129" s="243">
        <v>45971</v>
      </c>
      <c r="J129" s="57" t="s">
        <v>180</v>
      </c>
      <c r="K129" s="52">
        <f>IFERROR(VLOOKUP('Score BD'!$J129,Lista!A:B,2,0)," ")</f>
        <v>1026291591</v>
      </c>
      <c r="L129" s="61" t="s">
        <v>378</v>
      </c>
      <c r="M129" s="59" t="s">
        <v>4</v>
      </c>
      <c r="N129" s="59" t="s">
        <v>4</v>
      </c>
      <c r="O129" s="59" t="s">
        <v>4</v>
      </c>
      <c r="P129" s="59" t="s">
        <v>4</v>
      </c>
      <c r="Q129" s="96">
        <f t="shared" si="13"/>
        <v>1</v>
      </c>
      <c r="R129" s="59" t="s">
        <v>4</v>
      </c>
      <c r="S129" s="59" t="s">
        <v>4</v>
      </c>
      <c r="T129" s="59" t="s">
        <v>4</v>
      </c>
      <c r="U129" s="59" t="s">
        <v>4</v>
      </c>
      <c r="V129" s="45">
        <f t="shared" si="14"/>
        <v>1</v>
      </c>
      <c r="W129" s="59" t="s">
        <v>4</v>
      </c>
      <c r="X129" s="59" t="s">
        <v>4</v>
      </c>
      <c r="Y129" s="59" t="s">
        <v>4</v>
      </c>
      <c r="Z129" s="59" t="s">
        <v>4</v>
      </c>
      <c r="AA129" s="59" t="s">
        <v>4</v>
      </c>
      <c r="AB129" s="59" t="s">
        <v>4</v>
      </c>
      <c r="AC129" s="45">
        <f t="shared" si="15"/>
        <v>1.000000000000002</v>
      </c>
      <c r="AD129" s="43" t="s">
        <v>4</v>
      </c>
      <c r="AE129" s="43" t="s">
        <v>4</v>
      </c>
      <c r="AF129" s="97">
        <f t="shared" si="16"/>
        <v>1</v>
      </c>
      <c r="AG129" s="44">
        <f t="shared" si="17"/>
        <v>1.0000000000000004</v>
      </c>
      <c r="AH129" s="47">
        <f t="shared" si="18"/>
        <v>0</v>
      </c>
      <c r="AI129" s="47">
        <f>COUNTIF('Score BD'!$M129:$P129,"no")</f>
        <v>0</v>
      </c>
      <c r="AJ129" s="47">
        <f t="shared" si="19"/>
        <v>0</v>
      </c>
      <c r="AK129" s="47">
        <f t="shared" si="20"/>
        <v>0</v>
      </c>
      <c r="AL129" s="47">
        <f t="shared" si="21"/>
        <v>0</v>
      </c>
      <c r="AM129" s="59" t="s">
        <v>580</v>
      </c>
      <c r="AN129" s="59"/>
      <c r="AO129" s="102"/>
      <c r="AP129" s="157"/>
      <c r="AQ129" s="59" t="str">
        <f>IFERROR(_xlfn.XLOOKUP(Tabla1[[#This Row],[Cedula agente]],Lista!$B$2:$B$97,Lista!$G$2:$G$97)," ")</f>
        <v>Luisa Fernanda Benavides Castrillon</v>
      </c>
      <c r="AR129" s="59" t="s">
        <v>162</v>
      </c>
      <c r="AS129" s="47" t="str">
        <f>IFERROR(_xlfn.XLOOKUP(Tabla1[[#This Row],[Cedula agente]],Lista!$B$2:$B$97,Lista!$F$2:$F$97)," ")</f>
        <v>John Sebastian Roncancio Avendaño</v>
      </c>
      <c r="AT129" s="99">
        <v>0.95</v>
      </c>
      <c r="AU129" s="201">
        <f>+WEEKNUM('Score BD'!$H129)-WEEKNUM(DATE(YEAR('Score BD'!$H129),MONTH('Score BD'!$H129),1))+1</f>
        <v>3</v>
      </c>
    </row>
    <row r="130" spans="1:47" s="51" customFormat="1" ht="17.45" customHeight="1" x14ac:dyDescent="0.3">
      <c r="A130" s="49" t="str">
        <f t="shared" si="11"/>
        <v>Ministerio de Educación Nacional</v>
      </c>
      <c r="B130" s="50">
        <f>+IFERROR(COUNTIF($J$3:J130,J130)," ")</f>
        <v>5</v>
      </c>
      <c r="C130" s="54" t="str">
        <f>+'Score BD'!$J130&amp;'Score BD'!$B130</f>
        <v>Laura Ximena Sandoval Galindo5</v>
      </c>
      <c r="D130" s="91" t="s">
        <v>148</v>
      </c>
      <c r="E130" s="92" t="s">
        <v>208</v>
      </c>
      <c r="F130" s="92" t="s">
        <v>212</v>
      </c>
      <c r="G130" s="60" t="str">
        <f t="shared" si="12"/>
        <v>Noviembre</v>
      </c>
      <c r="H130" s="65">
        <v>45972</v>
      </c>
      <c r="I130" s="243">
        <v>45971</v>
      </c>
      <c r="J130" s="57" t="s">
        <v>201</v>
      </c>
      <c r="K130" s="52">
        <f>IFERROR(VLOOKUP('Score BD'!$J130,Lista!A:B,2,0)," ")</f>
        <v>1030678660</v>
      </c>
      <c r="L130" s="61" t="s">
        <v>379</v>
      </c>
      <c r="M130" s="59" t="s">
        <v>4</v>
      </c>
      <c r="N130" s="59" t="s">
        <v>4</v>
      </c>
      <c r="O130" s="59" t="s">
        <v>4</v>
      </c>
      <c r="P130" s="59" t="s">
        <v>4</v>
      </c>
      <c r="Q130" s="96">
        <f t="shared" si="13"/>
        <v>1</v>
      </c>
      <c r="R130" s="59" t="s">
        <v>4</v>
      </c>
      <c r="S130" s="59" t="s">
        <v>4</v>
      </c>
      <c r="T130" s="59" t="s">
        <v>4</v>
      </c>
      <c r="U130" s="59" t="s">
        <v>4</v>
      </c>
      <c r="V130" s="45">
        <f t="shared" si="14"/>
        <v>1</v>
      </c>
      <c r="W130" s="59" t="s">
        <v>4</v>
      </c>
      <c r="X130" s="59" t="s">
        <v>4</v>
      </c>
      <c r="Y130" s="59" t="s">
        <v>4</v>
      </c>
      <c r="Z130" s="59" t="s">
        <v>4</v>
      </c>
      <c r="AA130" s="59" t="s">
        <v>4</v>
      </c>
      <c r="AB130" s="59" t="s">
        <v>4</v>
      </c>
      <c r="AC130" s="45">
        <f t="shared" si="15"/>
        <v>1.000000000000002</v>
      </c>
      <c r="AD130" s="43" t="s">
        <v>4</v>
      </c>
      <c r="AE130" s="43" t="s">
        <v>4</v>
      </c>
      <c r="AF130" s="97">
        <f t="shared" si="16"/>
        <v>1</v>
      </c>
      <c r="AG130" s="44">
        <f t="shared" si="17"/>
        <v>1.0000000000000004</v>
      </c>
      <c r="AH130" s="47">
        <f t="shared" si="18"/>
        <v>0</v>
      </c>
      <c r="AI130" s="47">
        <f>COUNTIF('Score BD'!$M130:$P130,"no")</f>
        <v>0</v>
      </c>
      <c r="AJ130" s="47">
        <f t="shared" si="19"/>
        <v>0</v>
      </c>
      <c r="AK130" s="47">
        <f t="shared" si="20"/>
        <v>0</v>
      </c>
      <c r="AL130" s="47">
        <f t="shared" si="21"/>
        <v>0</v>
      </c>
      <c r="AM130" s="59" t="s">
        <v>580</v>
      </c>
      <c r="AN130" s="46"/>
      <c r="AO130" s="43"/>
      <c r="AP130" s="43"/>
      <c r="AQ130" s="59" t="str">
        <f>IFERROR(_xlfn.XLOOKUP(Tabla1[[#This Row],[Cedula agente]],Lista!$B$2:$B$97,Lista!$G$2:$G$97)," ")</f>
        <v>Luisa Fernanda Benavides Castrillon</v>
      </c>
      <c r="AR130" s="59" t="s">
        <v>162</v>
      </c>
      <c r="AS130" s="47" t="str">
        <f>IFERROR(_xlfn.XLOOKUP(Tabla1[[#This Row],[Cedula agente]],Lista!$B$2:$B$97,Lista!$F$2:$F$97)," ")</f>
        <v>John Sebastian Roncancio Avendaño</v>
      </c>
      <c r="AT130" s="99">
        <v>0.95</v>
      </c>
      <c r="AU130" s="199">
        <f>+WEEKNUM('Score BD'!$H130)-WEEKNUM(DATE(YEAR('Score BD'!$H130),MONTH('Score BD'!$H130),1))+1</f>
        <v>3</v>
      </c>
    </row>
    <row r="131" spans="1:47" s="51" customFormat="1" ht="17.45" customHeight="1" x14ac:dyDescent="0.3">
      <c r="A131" s="49" t="str">
        <f t="shared" si="11"/>
        <v>Ministerio de Educación Nacional</v>
      </c>
      <c r="B131" s="50">
        <f>+IFERROR(COUNTIF($J$3:J131,J131)," ")</f>
        <v>9</v>
      </c>
      <c r="C131" s="54" t="str">
        <f>+'Score BD'!$J131&amp;'Score BD'!$B131</f>
        <v>Maira Alejandra Rodriguez Losada9</v>
      </c>
      <c r="D131" s="91" t="s">
        <v>148</v>
      </c>
      <c r="E131" s="92" t="s">
        <v>164</v>
      </c>
      <c r="F131" s="92" t="s">
        <v>212</v>
      </c>
      <c r="G131" s="60" t="str">
        <f t="shared" si="12"/>
        <v>Noviembre</v>
      </c>
      <c r="H131" s="65">
        <v>45972</v>
      </c>
      <c r="I131" s="243">
        <v>45971</v>
      </c>
      <c r="J131" s="57" t="s">
        <v>204</v>
      </c>
      <c r="K131" s="52">
        <f>IFERROR(VLOOKUP('Score BD'!$J131,Lista!A:B,2,0)," ")</f>
        <v>1075224344</v>
      </c>
      <c r="L131" s="61" t="s">
        <v>380</v>
      </c>
      <c r="M131" s="59" t="s">
        <v>4</v>
      </c>
      <c r="N131" s="59" t="s">
        <v>4</v>
      </c>
      <c r="O131" s="59" t="s">
        <v>4</v>
      </c>
      <c r="P131" s="59" t="s">
        <v>4</v>
      </c>
      <c r="Q131" s="96">
        <f t="shared" si="13"/>
        <v>1</v>
      </c>
      <c r="R131" s="59" t="s">
        <v>4</v>
      </c>
      <c r="S131" s="59" t="s">
        <v>4</v>
      </c>
      <c r="T131" s="59" t="s">
        <v>4</v>
      </c>
      <c r="U131" s="59" t="s">
        <v>4</v>
      </c>
      <c r="V131" s="45">
        <f t="shared" si="14"/>
        <v>1</v>
      </c>
      <c r="W131" s="59" t="s">
        <v>4</v>
      </c>
      <c r="X131" s="59" t="s">
        <v>4</v>
      </c>
      <c r="Y131" s="59" t="s">
        <v>4</v>
      </c>
      <c r="Z131" s="59" t="s">
        <v>4</v>
      </c>
      <c r="AA131" s="59" t="s">
        <v>4</v>
      </c>
      <c r="AB131" s="59" t="s">
        <v>4</v>
      </c>
      <c r="AC131" s="45">
        <f t="shared" si="15"/>
        <v>1.000000000000002</v>
      </c>
      <c r="AD131" s="43" t="s">
        <v>4</v>
      </c>
      <c r="AE131" s="43" t="s">
        <v>4</v>
      </c>
      <c r="AF131" s="97">
        <f t="shared" si="16"/>
        <v>1</v>
      </c>
      <c r="AG131" s="44">
        <f t="shared" si="17"/>
        <v>1.0000000000000004</v>
      </c>
      <c r="AH131" s="47">
        <f t="shared" si="18"/>
        <v>0</v>
      </c>
      <c r="AI131" s="47">
        <f>COUNTIF('Score BD'!$M131:$P131,"no")</f>
        <v>0</v>
      </c>
      <c r="AJ131" s="47">
        <f t="shared" si="19"/>
        <v>0</v>
      </c>
      <c r="AK131" s="47">
        <f t="shared" si="20"/>
        <v>0</v>
      </c>
      <c r="AL131" s="47">
        <f t="shared" si="21"/>
        <v>0</v>
      </c>
      <c r="AM131" s="59" t="s">
        <v>580</v>
      </c>
      <c r="AN131" s="46"/>
      <c r="AO131" s="102"/>
      <c r="AP131" s="55"/>
      <c r="AQ131" s="59" t="str">
        <f>IFERROR(_xlfn.XLOOKUP(Tabla1[[#This Row],[Cedula agente]],Lista!$B$2:$B$97,Lista!$G$2:$G$97)," ")</f>
        <v>Luisa Fernanda Benavides Castrillon</v>
      </c>
      <c r="AR131" s="59" t="s">
        <v>162</v>
      </c>
      <c r="AS131" s="47" t="str">
        <f>IFERROR(_xlfn.XLOOKUP(Tabla1[[#This Row],[Cedula agente]],Lista!$B$2:$B$97,Lista!$F$2:$F$97)," ")</f>
        <v>John Sebastian Roncancio Avendaño</v>
      </c>
      <c r="AT131" s="99">
        <v>0.95</v>
      </c>
      <c r="AU131" s="199">
        <f>+WEEKNUM('Score BD'!$H131)-WEEKNUM(DATE(YEAR('Score BD'!$H131),MONTH('Score BD'!$H131),1))+1</f>
        <v>3</v>
      </c>
    </row>
    <row r="132" spans="1:47" s="51" customFormat="1" ht="17.45" customHeight="1" x14ac:dyDescent="0.3">
      <c r="A132" s="49" t="str">
        <f t="shared" ref="A132:A195" si="22">+IF(B132&gt;0,"Ministerio de Educación Nacional"," ")</f>
        <v>Ministerio de Educación Nacional</v>
      </c>
      <c r="B132" s="50">
        <f>+IFERROR(COUNTIF($J$3:J132,J132)," ")</f>
        <v>10</v>
      </c>
      <c r="C132" s="54" t="str">
        <f>+'Score BD'!$J132&amp;'Score BD'!$B132</f>
        <v>Maira Alejandra Rodriguez Losada10</v>
      </c>
      <c r="D132" s="91" t="s">
        <v>148</v>
      </c>
      <c r="E132" s="92" t="s">
        <v>164</v>
      </c>
      <c r="F132" s="92" t="s">
        <v>212</v>
      </c>
      <c r="G132" s="60" t="str">
        <f t="shared" ref="G132:G195" si="23">+PROPER(TEXT(H132,"mmmm"))</f>
        <v>Noviembre</v>
      </c>
      <c r="H132" s="65">
        <v>45972</v>
      </c>
      <c r="I132" s="243">
        <v>45971</v>
      </c>
      <c r="J132" s="57" t="s">
        <v>204</v>
      </c>
      <c r="K132" s="52">
        <f>IFERROR(VLOOKUP('Score BD'!$J132,Lista!A:B,2,0)," ")</f>
        <v>1075224344</v>
      </c>
      <c r="L132" s="61" t="s">
        <v>381</v>
      </c>
      <c r="M132" s="59" t="s">
        <v>4</v>
      </c>
      <c r="N132" s="59" t="s">
        <v>4</v>
      </c>
      <c r="O132" s="59" t="s">
        <v>4</v>
      </c>
      <c r="P132" s="59" t="s">
        <v>4</v>
      </c>
      <c r="Q132" s="96">
        <f t="shared" ref="Q132:Q195" si="24">+IF(M132="NO",0,25%)+IF(N132="NO",0,25%)+IF(O132="NO",0,25%)+IF(P132="NO",0,25%)</f>
        <v>1</v>
      </c>
      <c r="R132" s="59" t="s">
        <v>4</v>
      </c>
      <c r="S132" s="59" t="s">
        <v>4</v>
      </c>
      <c r="T132" s="59" t="s">
        <v>4</v>
      </c>
      <c r="U132" s="59" t="s">
        <v>4</v>
      </c>
      <c r="V132" s="45">
        <f t="shared" ref="V132:V195" si="25">+IF(R132="NO",0,25%)+IF(S132="NO",0,25%)+IF(T132="NO",0,25%)+IF(U132="NO",0,25%)</f>
        <v>1</v>
      </c>
      <c r="W132" s="59" t="s">
        <v>4</v>
      </c>
      <c r="X132" s="59" t="s">
        <v>4</v>
      </c>
      <c r="Y132" s="59" t="s">
        <v>4</v>
      </c>
      <c r="Z132" s="59" t="s">
        <v>4</v>
      </c>
      <c r="AA132" s="59" t="s">
        <v>4</v>
      </c>
      <c r="AB132" s="59" t="s">
        <v>4</v>
      </c>
      <c r="AC132" s="45">
        <f t="shared" ref="AC132:AC195" si="26">+IF(W132="NO",0%,16.6666666666667%)+IF(X132="NO",0%,16.6666666666667%)+IF(Y132="NO",0%,16.6666666666667%)+IF(Z132="NO",0%,16.6666666666667%)+IF(AA132="NO",0%,16.6666666666667%)+IF(AB132="NO",0%,16.6666666666667%)</f>
        <v>1.000000000000002</v>
      </c>
      <c r="AD132" s="43" t="s">
        <v>4</v>
      </c>
      <c r="AE132" s="43" t="s">
        <v>4</v>
      </c>
      <c r="AF132" s="97">
        <f t="shared" ref="AF132:AF195" si="27">+IF(AD132="NO",0%,50%)+IF(AE132="NO",0%,50%)</f>
        <v>1</v>
      </c>
      <c r="AG132" s="44">
        <f t="shared" ref="AG132:AG195" si="28">AVERAGE(AF132,AC132,V132,Q132)</f>
        <v>1.0000000000000004</v>
      </c>
      <c r="AH132" s="47">
        <f t="shared" ref="AH132:AH195" si="29">+COUNTIF(W132:AB132,"no")+COUNTIF(R132:U132,"no")+COUNTIF(AD132:AE132,"no")</f>
        <v>0</v>
      </c>
      <c r="AI132" s="47">
        <f>COUNTIF('Score BD'!$M132:$P132,"no")</f>
        <v>0</v>
      </c>
      <c r="AJ132" s="47">
        <f t="shared" ref="AJ132:AJ195" si="30">+IF(COUNTA(R132:U132)=0,"-",COUNTIF(R132:U132,"NO"))</f>
        <v>0</v>
      </c>
      <c r="AK132" s="47">
        <f t="shared" ref="AK132:AK195" si="31">+IF(COUNTA(W132:AB132)=0,"-",COUNTIF(W132:AB132,"NO"))</f>
        <v>0</v>
      </c>
      <c r="AL132" s="47">
        <f t="shared" ref="AL132:AL195" si="32">+IF(COUNTA(AD132:AE132)=0,"-",COUNTIF(AD132:AE132,"NO"))</f>
        <v>0</v>
      </c>
      <c r="AM132" s="59" t="s">
        <v>580</v>
      </c>
      <c r="AN132" s="47"/>
      <c r="AO132" s="48"/>
      <c r="AP132" s="48"/>
      <c r="AQ132" s="59" t="str">
        <f>IFERROR(_xlfn.XLOOKUP(Tabla1[[#This Row],[Cedula agente]],Lista!$B$2:$B$97,Lista!$G$2:$G$97)," ")</f>
        <v>Luisa Fernanda Benavides Castrillon</v>
      </c>
      <c r="AR132" s="59" t="s">
        <v>162</v>
      </c>
      <c r="AS132" s="47" t="str">
        <f>IFERROR(_xlfn.XLOOKUP(Tabla1[[#This Row],[Cedula agente]],Lista!$B$2:$B$97,Lista!$F$2:$F$97)," ")</f>
        <v>John Sebastian Roncancio Avendaño</v>
      </c>
      <c r="AT132" s="99">
        <v>0.95</v>
      </c>
      <c r="AU132" s="199">
        <f>+WEEKNUM('Score BD'!$H132)-WEEKNUM(DATE(YEAR('Score BD'!$H132),MONTH('Score BD'!$H132),1))+1</f>
        <v>3</v>
      </c>
    </row>
    <row r="133" spans="1:47" s="51" customFormat="1" ht="17.45" customHeight="1" x14ac:dyDescent="0.3">
      <c r="A133" s="49" t="str">
        <f t="shared" si="22"/>
        <v>Ministerio de Educación Nacional</v>
      </c>
      <c r="B133" s="50">
        <f>+IFERROR(COUNTIF($J$3:J133,J133)," ")</f>
        <v>9</v>
      </c>
      <c r="C133" s="54" t="str">
        <f>+'Score BD'!$J133&amp;'Score BD'!$B133</f>
        <v>María José Uribe Medina9</v>
      </c>
      <c r="D133" s="91" t="s">
        <v>148</v>
      </c>
      <c r="E133" s="92" t="s">
        <v>164</v>
      </c>
      <c r="F133" s="92" t="s">
        <v>212</v>
      </c>
      <c r="G133" s="60" t="str">
        <f t="shared" si="23"/>
        <v>Noviembre</v>
      </c>
      <c r="H133" s="65">
        <v>45972</v>
      </c>
      <c r="I133" s="243">
        <v>45971</v>
      </c>
      <c r="J133" s="57" t="s">
        <v>205</v>
      </c>
      <c r="K133" s="52">
        <f>IFERROR(VLOOKUP('Score BD'!$J133,Lista!A:B,2,0)," ")</f>
        <v>1121919150</v>
      </c>
      <c r="L133" s="61" t="s">
        <v>382</v>
      </c>
      <c r="M133" s="59" t="s">
        <v>4</v>
      </c>
      <c r="N133" s="59" t="s">
        <v>4</v>
      </c>
      <c r="O133" s="59" t="s">
        <v>4</v>
      </c>
      <c r="P133" s="59" t="s">
        <v>4</v>
      </c>
      <c r="Q133" s="96">
        <f t="shared" si="24"/>
        <v>1</v>
      </c>
      <c r="R133" s="59" t="s">
        <v>4</v>
      </c>
      <c r="S133" s="59" t="s">
        <v>4</v>
      </c>
      <c r="T133" s="59" t="s">
        <v>4</v>
      </c>
      <c r="U133" s="59" t="s">
        <v>4</v>
      </c>
      <c r="V133" s="45">
        <f t="shared" si="25"/>
        <v>1</v>
      </c>
      <c r="W133" s="59" t="s">
        <v>4</v>
      </c>
      <c r="X133" s="59" t="s">
        <v>4</v>
      </c>
      <c r="Y133" s="59" t="s">
        <v>4</v>
      </c>
      <c r="Z133" s="59" t="s">
        <v>4</v>
      </c>
      <c r="AA133" s="59" t="s">
        <v>4</v>
      </c>
      <c r="AB133" s="59" t="s">
        <v>4</v>
      </c>
      <c r="AC133" s="45">
        <f t="shared" si="26"/>
        <v>1.000000000000002</v>
      </c>
      <c r="AD133" s="43" t="s">
        <v>4</v>
      </c>
      <c r="AE133" s="43" t="s">
        <v>4</v>
      </c>
      <c r="AF133" s="97">
        <f t="shared" si="27"/>
        <v>1</v>
      </c>
      <c r="AG133" s="44">
        <f t="shared" si="28"/>
        <v>1.0000000000000004</v>
      </c>
      <c r="AH133" s="47">
        <f t="shared" si="29"/>
        <v>0</v>
      </c>
      <c r="AI133" s="47">
        <f>COUNTIF('Score BD'!$M133:$P133,"no")</f>
        <v>0</v>
      </c>
      <c r="AJ133" s="47">
        <f t="shared" si="30"/>
        <v>0</v>
      </c>
      <c r="AK133" s="47">
        <f t="shared" si="31"/>
        <v>0</v>
      </c>
      <c r="AL133" s="47">
        <f t="shared" si="32"/>
        <v>0</v>
      </c>
      <c r="AM133" s="59" t="s">
        <v>580</v>
      </c>
      <c r="AN133" s="46"/>
      <c r="AO133" s="43"/>
      <c r="AP133" s="43"/>
      <c r="AQ133" s="59" t="str">
        <f>IFERROR(_xlfn.XLOOKUP(Tabla1[[#This Row],[Cedula agente]],Lista!$B$2:$B$97,Lista!$G$2:$G$97)," ")</f>
        <v>Luisa Fernanda Benavides Castrillon</v>
      </c>
      <c r="AR133" s="59" t="s">
        <v>162</v>
      </c>
      <c r="AS133" s="47" t="str">
        <f>IFERROR(_xlfn.XLOOKUP(Tabla1[[#This Row],[Cedula agente]],Lista!$B$2:$B$97,Lista!$F$2:$F$97)," ")</f>
        <v>John Sebastian Roncancio Avendaño</v>
      </c>
      <c r="AT133" s="99">
        <v>0.95</v>
      </c>
      <c r="AU133" s="199">
        <f>+WEEKNUM('Score BD'!$H133)-WEEKNUM(DATE(YEAR('Score BD'!$H133),MONTH('Score BD'!$H133),1))+1</f>
        <v>3</v>
      </c>
    </row>
    <row r="134" spans="1:47" s="51" customFormat="1" ht="17.45" customHeight="1" x14ac:dyDescent="0.3">
      <c r="A134" s="49" t="str">
        <f t="shared" si="22"/>
        <v>Ministerio de Educación Nacional</v>
      </c>
      <c r="B134" s="50">
        <f>+IFERROR(COUNTIF($J$3:J134,J134)," ")</f>
        <v>10</v>
      </c>
      <c r="C134" s="54" t="str">
        <f>+'Score BD'!$J134&amp;'Score BD'!$B134</f>
        <v>María José Uribe Medina10</v>
      </c>
      <c r="D134" s="91" t="s">
        <v>148</v>
      </c>
      <c r="E134" s="92" t="s">
        <v>164</v>
      </c>
      <c r="F134" s="92" t="s">
        <v>212</v>
      </c>
      <c r="G134" s="60" t="str">
        <f t="shared" si="23"/>
        <v>Noviembre</v>
      </c>
      <c r="H134" s="65">
        <v>45972</v>
      </c>
      <c r="I134" s="243">
        <v>45971</v>
      </c>
      <c r="J134" s="57" t="s">
        <v>205</v>
      </c>
      <c r="K134" s="52">
        <f>IFERROR(VLOOKUP('Score BD'!$J134,Lista!A:B,2,0)," ")</f>
        <v>1121919150</v>
      </c>
      <c r="L134" s="61" t="s">
        <v>383</v>
      </c>
      <c r="M134" s="59" t="s">
        <v>4</v>
      </c>
      <c r="N134" s="59" t="s">
        <v>4</v>
      </c>
      <c r="O134" s="59" t="s">
        <v>4</v>
      </c>
      <c r="P134" s="59" t="s">
        <v>4</v>
      </c>
      <c r="Q134" s="96">
        <f t="shared" si="24"/>
        <v>1</v>
      </c>
      <c r="R134" s="59" t="s">
        <v>4</v>
      </c>
      <c r="S134" s="59" t="s">
        <v>4</v>
      </c>
      <c r="T134" s="59" t="s">
        <v>4</v>
      </c>
      <c r="U134" s="59" t="s">
        <v>4</v>
      </c>
      <c r="V134" s="45">
        <f t="shared" si="25"/>
        <v>1</v>
      </c>
      <c r="W134" s="59" t="s">
        <v>4</v>
      </c>
      <c r="X134" s="59" t="s">
        <v>4</v>
      </c>
      <c r="Y134" s="59" t="s">
        <v>4</v>
      </c>
      <c r="Z134" s="59" t="s">
        <v>4</v>
      </c>
      <c r="AA134" s="59" t="s">
        <v>4</v>
      </c>
      <c r="AB134" s="59" t="s">
        <v>4</v>
      </c>
      <c r="AC134" s="45">
        <f t="shared" si="26"/>
        <v>1.000000000000002</v>
      </c>
      <c r="AD134" s="43" t="s">
        <v>4</v>
      </c>
      <c r="AE134" s="43" t="s">
        <v>4</v>
      </c>
      <c r="AF134" s="97">
        <f t="shared" si="27"/>
        <v>1</v>
      </c>
      <c r="AG134" s="44">
        <f t="shared" si="28"/>
        <v>1.0000000000000004</v>
      </c>
      <c r="AH134" s="47">
        <f t="shared" si="29"/>
        <v>0</v>
      </c>
      <c r="AI134" s="47">
        <f>COUNTIF('Score BD'!$M134:$P134,"no")</f>
        <v>0</v>
      </c>
      <c r="AJ134" s="47">
        <f t="shared" si="30"/>
        <v>0</v>
      </c>
      <c r="AK134" s="47">
        <f t="shared" si="31"/>
        <v>0</v>
      </c>
      <c r="AL134" s="47">
        <f t="shared" si="32"/>
        <v>0</v>
      </c>
      <c r="AM134" s="59" t="s">
        <v>580</v>
      </c>
      <c r="AN134" s="46"/>
      <c r="AO134" s="43"/>
      <c r="AP134" s="43"/>
      <c r="AQ134" s="59" t="str">
        <f>IFERROR(_xlfn.XLOOKUP(Tabla1[[#This Row],[Cedula agente]],Lista!$B$2:$B$97,Lista!$G$2:$G$97)," ")</f>
        <v>Luisa Fernanda Benavides Castrillon</v>
      </c>
      <c r="AR134" s="59" t="s">
        <v>162</v>
      </c>
      <c r="AS134" s="47" t="str">
        <f>IFERROR(_xlfn.XLOOKUP(Tabla1[[#This Row],[Cedula agente]],Lista!$B$2:$B$97,Lista!$F$2:$F$97)," ")</f>
        <v>John Sebastian Roncancio Avendaño</v>
      </c>
      <c r="AT134" s="99">
        <v>0.95</v>
      </c>
      <c r="AU134" s="199">
        <f>+WEEKNUM('Score BD'!$H134)-WEEKNUM(DATE(YEAR('Score BD'!$H134),MONTH('Score BD'!$H134),1))+1</f>
        <v>3</v>
      </c>
    </row>
    <row r="135" spans="1:47" s="51" customFormat="1" ht="17.45" customHeight="1" x14ac:dyDescent="0.3">
      <c r="A135" s="49" t="str">
        <f t="shared" si="22"/>
        <v>Ministerio de Educación Nacional</v>
      </c>
      <c r="B135" s="50">
        <f>+IFERROR(COUNTIF($J$3:J135,J135)," ")</f>
        <v>9</v>
      </c>
      <c r="C135" s="54" t="str">
        <f>+'Score BD'!$J135&amp;'Score BD'!$B135</f>
        <v>Natalia Cañón Betancourt9</v>
      </c>
      <c r="D135" s="91" t="s">
        <v>148</v>
      </c>
      <c r="E135" s="92" t="s">
        <v>164</v>
      </c>
      <c r="F135" s="92" t="s">
        <v>212</v>
      </c>
      <c r="G135" s="60" t="str">
        <f t="shared" si="23"/>
        <v>Noviembre</v>
      </c>
      <c r="H135" s="65">
        <v>45972</v>
      </c>
      <c r="I135" s="243">
        <v>45971</v>
      </c>
      <c r="J135" s="57" t="s">
        <v>181</v>
      </c>
      <c r="K135" s="52">
        <f>IFERROR(VLOOKUP('Score BD'!$J135,Lista!A:B,2,0)," ")</f>
        <v>1000383417</v>
      </c>
      <c r="L135" s="61" t="s">
        <v>384</v>
      </c>
      <c r="M135" s="59" t="s">
        <v>4</v>
      </c>
      <c r="N135" s="59" t="s">
        <v>4</v>
      </c>
      <c r="O135" s="59" t="s">
        <v>4</v>
      </c>
      <c r="P135" s="59" t="s">
        <v>4</v>
      </c>
      <c r="Q135" s="96">
        <f t="shared" si="24"/>
        <v>1</v>
      </c>
      <c r="R135" s="59" t="s">
        <v>4</v>
      </c>
      <c r="S135" s="59" t="s">
        <v>4</v>
      </c>
      <c r="T135" s="59" t="s">
        <v>4</v>
      </c>
      <c r="U135" s="59" t="s">
        <v>4</v>
      </c>
      <c r="V135" s="45">
        <f t="shared" si="25"/>
        <v>1</v>
      </c>
      <c r="W135" s="59" t="s">
        <v>4</v>
      </c>
      <c r="X135" s="59" t="s">
        <v>4</v>
      </c>
      <c r="Y135" s="59" t="s">
        <v>4</v>
      </c>
      <c r="Z135" s="59" t="s">
        <v>4</v>
      </c>
      <c r="AA135" s="59" t="s">
        <v>4</v>
      </c>
      <c r="AB135" s="59" t="s">
        <v>4</v>
      </c>
      <c r="AC135" s="45">
        <f t="shared" si="26"/>
        <v>1.000000000000002</v>
      </c>
      <c r="AD135" s="43" t="s">
        <v>4</v>
      </c>
      <c r="AE135" s="43" t="s">
        <v>4</v>
      </c>
      <c r="AF135" s="97">
        <f t="shared" si="27"/>
        <v>1</v>
      </c>
      <c r="AG135" s="44">
        <f t="shared" si="28"/>
        <v>1.0000000000000004</v>
      </c>
      <c r="AH135" s="47">
        <f t="shared" si="29"/>
        <v>0</v>
      </c>
      <c r="AI135" s="47">
        <f>COUNTIF('Score BD'!$M135:$P135,"no")</f>
        <v>0</v>
      </c>
      <c r="AJ135" s="47">
        <f t="shared" si="30"/>
        <v>0</v>
      </c>
      <c r="AK135" s="47">
        <f t="shared" si="31"/>
        <v>0</v>
      </c>
      <c r="AL135" s="47">
        <f t="shared" si="32"/>
        <v>0</v>
      </c>
      <c r="AM135" s="59" t="s">
        <v>580</v>
      </c>
      <c r="AN135" s="46"/>
      <c r="AO135" s="43"/>
      <c r="AP135" s="43"/>
      <c r="AQ135" s="59" t="str">
        <f>IFERROR(_xlfn.XLOOKUP(Tabla1[[#This Row],[Cedula agente]],Lista!$B$2:$B$97,Lista!$G$2:$G$97)," ")</f>
        <v>Luisa Fernanda Benavides Castrillon</v>
      </c>
      <c r="AR135" s="59" t="s">
        <v>162</v>
      </c>
      <c r="AS135" s="47" t="str">
        <f>IFERROR(_xlfn.XLOOKUP(Tabla1[[#This Row],[Cedula agente]],Lista!$B$2:$B$97,Lista!$F$2:$F$97)," ")</f>
        <v>John Sebastian Roncancio Avendaño</v>
      </c>
      <c r="AT135" s="99">
        <v>0.95</v>
      </c>
      <c r="AU135" s="199">
        <f>+WEEKNUM('Score BD'!$H135)-WEEKNUM(DATE(YEAR('Score BD'!$H135),MONTH('Score BD'!$H135),1))+1</f>
        <v>3</v>
      </c>
    </row>
    <row r="136" spans="1:47" s="51" customFormat="1" ht="17.45" customHeight="1" x14ac:dyDescent="0.3">
      <c r="A136" s="49" t="str">
        <f t="shared" si="22"/>
        <v>Ministerio de Educación Nacional</v>
      </c>
      <c r="B136" s="50">
        <f>+IFERROR(COUNTIF($J$3:J136,J136)," ")</f>
        <v>10</v>
      </c>
      <c r="C136" s="54" t="str">
        <f>+'Score BD'!$J136&amp;'Score BD'!$B136</f>
        <v>Natalia Cañón Betancourt10</v>
      </c>
      <c r="D136" s="91" t="s">
        <v>148</v>
      </c>
      <c r="E136" s="92" t="s">
        <v>164</v>
      </c>
      <c r="F136" s="92" t="s">
        <v>212</v>
      </c>
      <c r="G136" s="60" t="str">
        <f t="shared" si="23"/>
        <v>Noviembre</v>
      </c>
      <c r="H136" s="65">
        <v>45972</v>
      </c>
      <c r="I136" s="243">
        <v>45971</v>
      </c>
      <c r="J136" s="57" t="s">
        <v>181</v>
      </c>
      <c r="K136" s="52">
        <f>IFERROR(VLOOKUP('Score BD'!$J136,Lista!A:B,2,0)," ")</f>
        <v>1000383417</v>
      </c>
      <c r="L136" s="61" t="s">
        <v>385</v>
      </c>
      <c r="M136" s="59" t="s">
        <v>4</v>
      </c>
      <c r="N136" s="59" t="s">
        <v>4</v>
      </c>
      <c r="O136" s="59" t="s">
        <v>4</v>
      </c>
      <c r="P136" s="59" t="s">
        <v>4</v>
      </c>
      <c r="Q136" s="96">
        <f t="shared" si="24"/>
        <v>1</v>
      </c>
      <c r="R136" s="59" t="s">
        <v>4</v>
      </c>
      <c r="S136" s="59" t="s">
        <v>4</v>
      </c>
      <c r="T136" s="59" t="s">
        <v>4</v>
      </c>
      <c r="U136" s="59" t="s">
        <v>4</v>
      </c>
      <c r="V136" s="45">
        <f t="shared" si="25"/>
        <v>1</v>
      </c>
      <c r="W136" s="59" t="s">
        <v>4</v>
      </c>
      <c r="X136" s="59" t="s">
        <v>4</v>
      </c>
      <c r="Y136" s="59" t="s">
        <v>4</v>
      </c>
      <c r="Z136" s="59" t="s">
        <v>4</v>
      </c>
      <c r="AA136" s="59" t="s">
        <v>4</v>
      </c>
      <c r="AB136" s="59" t="s">
        <v>4</v>
      </c>
      <c r="AC136" s="45">
        <f t="shared" si="26"/>
        <v>1.000000000000002</v>
      </c>
      <c r="AD136" s="43" t="s">
        <v>4</v>
      </c>
      <c r="AE136" s="43" t="s">
        <v>4</v>
      </c>
      <c r="AF136" s="97">
        <f t="shared" si="27"/>
        <v>1</v>
      </c>
      <c r="AG136" s="44">
        <f t="shared" si="28"/>
        <v>1.0000000000000004</v>
      </c>
      <c r="AH136" s="47">
        <f t="shared" si="29"/>
        <v>0</v>
      </c>
      <c r="AI136" s="47">
        <f>COUNTIF('Score BD'!$M136:$P136,"no")</f>
        <v>0</v>
      </c>
      <c r="AJ136" s="47">
        <f t="shared" si="30"/>
        <v>0</v>
      </c>
      <c r="AK136" s="47">
        <f t="shared" si="31"/>
        <v>0</v>
      </c>
      <c r="AL136" s="47">
        <f t="shared" si="32"/>
        <v>0</v>
      </c>
      <c r="AM136" s="59" t="s">
        <v>580</v>
      </c>
      <c r="AN136" s="46"/>
      <c r="AO136" s="43"/>
      <c r="AP136" s="43"/>
      <c r="AQ136" s="59" t="str">
        <f>IFERROR(_xlfn.XLOOKUP(Tabla1[[#This Row],[Cedula agente]],Lista!$B$2:$B$97,Lista!$G$2:$G$97)," ")</f>
        <v>Luisa Fernanda Benavides Castrillon</v>
      </c>
      <c r="AR136" s="59" t="s">
        <v>162</v>
      </c>
      <c r="AS136" s="47" t="str">
        <f>IFERROR(_xlfn.XLOOKUP(Tabla1[[#This Row],[Cedula agente]],Lista!$B$2:$B$97,Lista!$F$2:$F$97)," ")</f>
        <v>John Sebastian Roncancio Avendaño</v>
      </c>
      <c r="AT136" s="99">
        <v>0.95</v>
      </c>
      <c r="AU136" s="199">
        <f>+WEEKNUM('Score BD'!$H136)-WEEKNUM(DATE(YEAR('Score BD'!$H136),MONTH('Score BD'!$H136),1))+1</f>
        <v>3</v>
      </c>
    </row>
    <row r="137" spans="1:47" s="51" customFormat="1" ht="17.45" customHeight="1" x14ac:dyDescent="0.3">
      <c r="A137" s="49" t="str">
        <f t="shared" si="22"/>
        <v>Ministerio de Educación Nacional</v>
      </c>
      <c r="B137" s="50">
        <f>+IFERROR(COUNTIF($J$3:J137,J137)," ")</f>
        <v>5</v>
      </c>
      <c r="C137" s="54" t="str">
        <f>+'Score BD'!$J137&amp;'Score BD'!$B137</f>
        <v>Quira Alejandra Herrera Camelo5</v>
      </c>
      <c r="D137" s="91" t="s">
        <v>148</v>
      </c>
      <c r="E137" s="92" t="s">
        <v>208</v>
      </c>
      <c r="F137" s="92" t="s">
        <v>105</v>
      </c>
      <c r="G137" s="60" t="str">
        <f t="shared" si="23"/>
        <v>Noviembre</v>
      </c>
      <c r="H137" s="65">
        <v>45972</v>
      </c>
      <c r="I137" s="243">
        <v>45971</v>
      </c>
      <c r="J137" s="57" t="s">
        <v>182</v>
      </c>
      <c r="K137" s="52">
        <f>IFERROR(VLOOKUP('Score BD'!$J137,Lista!A:B,2,0)," ")</f>
        <v>1010214168</v>
      </c>
      <c r="L137" s="61" t="s">
        <v>386</v>
      </c>
      <c r="M137" s="59" t="s">
        <v>4</v>
      </c>
      <c r="N137" s="59" t="s">
        <v>4</v>
      </c>
      <c r="O137" s="59" t="s">
        <v>4</v>
      </c>
      <c r="P137" s="59" t="s">
        <v>4</v>
      </c>
      <c r="Q137" s="96">
        <f t="shared" si="24"/>
        <v>1</v>
      </c>
      <c r="R137" s="59" t="s">
        <v>4</v>
      </c>
      <c r="S137" s="59" t="s">
        <v>4</v>
      </c>
      <c r="T137" s="59" t="s">
        <v>4</v>
      </c>
      <c r="U137" s="59" t="s">
        <v>4</v>
      </c>
      <c r="V137" s="45">
        <f t="shared" si="25"/>
        <v>1</v>
      </c>
      <c r="W137" s="59" t="s">
        <v>4</v>
      </c>
      <c r="X137" s="59" t="s">
        <v>4</v>
      </c>
      <c r="Y137" s="59" t="s">
        <v>4</v>
      </c>
      <c r="Z137" s="59" t="s">
        <v>4</v>
      </c>
      <c r="AA137" s="59" t="s">
        <v>4</v>
      </c>
      <c r="AB137" s="59" t="s">
        <v>4</v>
      </c>
      <c r="AC137" s="45">
        <f t="shared" si="26"/>
        <v>1.000000000000002</v>
      </c>
      <c r="AD137" s="43" t="s">
        <v>4</v>
      </c>
      <c r="AE137" s="43" t="s">
        <v>4</v>
      </c>
      <c r="AF137" s="97">
        <f t="shared" si="27"/>
        <v>1</v>
      </c>
      <c r="AG137" s="44">
        <f t="shared" si="28"/>
        <v>1.0000000000000004</v>
      </c>
      <c r="AH137" s="47">
        <f t="shared" si="29"/>
        <v>0</v>
      </c>
      <c r="AI137" s="47">
        <f>COUNTIF('Score BD'!$M137:$P137,"no")</f>
        <v>0</v>
      </c>
      <c r="AJ137" s="47">
        <f t="shared" si="30"/>
        <v>0</v>
      </c>
      <c r="AK137" s="47">
        <f t="shared" si="31"/>
        <v>0</v>
      </c>
      <c r="AL137" s="47">
        <f t="shared" si="32"/>
        <v>0</v>
      </c>
      <c r="AM137" s="59" t="s">
        <v>580</v>
      </c>
      <c r="AN137" s="46"/>
      <c r="AO137" s="43"/>
      <c r="AP137" s="43"/>
      <c r="AQ137" s="59" t="str">
        <f>IFERROR(_xlfn.XLOOKUP(Tabla1[[#This Row],[Cedula agente]],Lista!$B$2:$B$97,Lista!$G$2:$G$97)," ")</f>
        <v>Luisa Fernanda Benavides Castrillon</v>
      </c>
      <c r="AR137" s="59" t="s">
        <v>162</v>
      </c>
      <c r="AS137" s="47" t="str">
        <f>IFERROR(_xlfn.XLOOKUP(Tabla1[[#This Row],[Cedula agente]],Lista!$B$2:$B$97,Lista!$F$2:$F$97)," ")</f>
        <v>John Sebastian Roncancio Avendaño</v>
      </c>
      <c r="AT137" s="99">
        <v>0.95</v>
      </c>
      <c r="AU137" s="199">
        <f>+WEEKNUM('Score BD'!$H137)-WEEKNUM(DATE(YEAR('Score BD'!$H137),MONTH('Score BD'!$H137),1))+1</f>
        <v>3</v>
      </c>
    </row>
    <row r="138" spans="1:47" s="51" customFormat="1" ht="17.45" customHeight="1" x14ac:dyDescent="0.3">
      <c r="A138" s="49" t="str">
        <f t="shared" si="22"/>
        <v>Ministerio de Educación Nacional</v>
      </c>
      <c r="B138" s="50">
        <f>+IFERROR(COUNTIF($J$3:J138,J138)," ")</f>
        <v>5</v>
      </c>
      <c r="C138" s="54" t="str">
        <f>+'Score BD'!$J138&amp;'Score BD'!$B138</f>
        <v>Valentina Castillo Rondón5</v>
      </c>
      <c r="D138" s="91" t="s">
        <v>148</v>
      </c>
      <c r="E138" s="92" t="s">
        <v>165</v>
      </c>
      <c r="F138" s="92" t="s">
        <v>212</v>
      </c>
      <c r="G138" s="60" t="str">
        <f t="shared" si="23"/>
        <v>Noviembre</v>
      </c>
      <c r="H138" s="65">
        <v>45972</v>
      </c>
      <c r="I138" s="243">
        <v>45971</v>
      </c>
      <c r="J138" s="57" t="s">
        <v>183</v>
      </c>
      <c r="K138" s="52">
        <f>IFERROR(VLOOKUP('Score BD'!$J138,Lista!A:B,2,0)," ")</f>
        <v>1121950095</v>
      </c>
      <c r="L138" s="61" t="s">
        <v>387</v>
      </c>
      <c r="M138" s="59" t="s">
        <v>4</v>
      </c>
      <c r="N138" s="59" t="s">
        <v>4</v>
      </c>
      <c r="O138" s="59" t="s">
        <v>4</v>
      </c>
      <c r="P138" s="59" t="s">
        <v>4</v>
      </c>
      <c r="Q138" s="96">
        <f t="shared" si="24"/>
        <v>1</v>
      </c>
      <c r="R138" s="59" t="s">
        <v>4</v>
      </c>
      <c r="S138" s="59" t="s">
        <v>4</v>
      </c>
      <c r="T138" s="59" t="s">
        <v>4</v>
      </c>
      <c r="U138" s="59" t="s">
        <v>4</v>
      </c>
      <c r="V138" s="45">
        <f t="shared" si="25"/>
        <v>1</v>
      </c>
      <c r="W138" s="59" t="s">
        <v>4</v>
      </c>
      <c r="X138" s="59" t="s">
        <v>4</v>
      </c>
      <c r="Y138" s="59" t="s">
        <v>4</v>
      </c>
      <c r="Z138" s="59" t="s">
        <v>4</v>
      </c>
      <c r="AA138" s="59" t="s">
        <v>4</v>
      </c>
      <c r="AB138" s="59" t="s">
        <v>4</v>
      </c>
      <c r="AC138" s="45">
        <f t="shared" si="26"/>
        <v>1.000000000000002</v>
      </c>
      <c r="AD138" s="43" t="s">
        <v>4</v>
      </c>
      <c r="AE138" s="43" t="s">
        <v>4</v>
      </c>
      <c r="AF138" s="97">
        <f t="shared" si="27"/>
        <v>1</v>
      </c>
      <c r="AG138" s="44">
        <f t="shared" si="28"/>
        <v>1.0000000000000004</v>
      </c>
      <c r="AH138" s="47">
        <f t="shared" si="29"/>
        <v>0</v>
      </c>
      <c r="AI138" s="47">
        <f>COUNTIF('Score BD'!$M138:$P138,"no")</f>
        <v>0</v>
      </c>
      <c r="AJ138" s="47">
        <f t="shared" si="30"/>
        <v>0</v>
      </c>
      <c r="AK138" s="47">
        <f t="shared" si="31"/>
        <v>0</v>
      </c>
      <c r="AL138" s="47">
        <f t="shared" si="32"/>
        <v>0</v>
      </c>
      <c r="AM138" s="59" t="s">
        <v>580</v>
      </c>
      <c r="AN138" s="47"/>
      <c r="AO138" s="48"/>
      <c r="AP138" s="48"/>
      <c r="AQ138" s="59" t="str">
        <f>IFERROR(_xlfn.XLOOKUP(Tabla1[[#This Row],[Cedula agente]],Lista!$B$2:$B$97,Lista!$G$2:$G$97)," ")</f>
        <v>Luisa Fernanda Benavides Castrillon</v>
      </c>
      <c r="AR138" s="59" t="s">
        <v>162</v>
      </c>
      <c r="AS138" s="47" t="str">
        <f>IFERROR(_xlfn.XLOOKUP(Tabla1[[#This Row],[Cedula agente]],Lista!$B$2:$B$97,Lista!$F$2:$F$97)," ")</f>
        <v>John Sebastian Roncancio Avendaño</v>
      </c>
      <c r="AT138" s="99">
        <v>0.95</v>
      </c>
      <c r="AU138" s="199">
        <f>+WEEKNUM('Score BD'!$H138)-WEEKNUM(DATE(YEAR('Score BD'!$H138),MONTH('Score BD'!$H138),1))+1</f>
        <v>3</v>
      </c>
    </row>
    <row r="139" spans="1:47" s="51" customFormat="1" ht="17.45" customHeight="1" x14ac:dyDescent="0.3">
      <c r="A139" s="49" t="str">
        <f t="shared" si="22"/>
        <v>Ministerio de Educación Nacional</v>
      </c>
      <c r="B139" s="50">
        <f>+IFERROR(COUNTIF($J$3:J139,J139)," ")</f>
        <v>6</v>
      </c>
      <c r="C139" s="54" t="str">
        <f>+'Score BD'!$J139&amp;'Score BD'!$B139</f>
        <v>Yenny Maribel Duran Ovejero6</v>
      </c>
      <c r="D139" s="91" t="s">
        <v>148</v>
      </c>
      <c r="E139" s="92" t="s">
        <v>165</v>
      </c>
      <c r="F139" s="92" t="s">
        <v>212</v>
      </c>
      <c r="G139" s="60" t="str">
        <f t="shared" si="23"/>
        <v>Noviembre</v>
      </c>
      <c r="H139" s="65">
        <v>45972</v>
      </c>
      <c r="I139" s="243">
        <v>45971</v>
      </c>
      <c r="J139" s="57" t="s">
        <v>206</v>
      </c>
      <c r="K139" s="52">
        <f>IFERROR(VLOOKUP('Score BD'!$J139,Lista!A:B,2,0)," ")</f>
        <v>52962387</v>
      </c>
      <c r="L139" s="61" t="s">
        <v>388</v>
      </c>
      <c r="M139" s="59" t="s">
        <v>4</v>
      </c>
      <c r="N139" s="59" t="s">
        <v>4</v>
      </c>
      <c r="O139" s="59" t="s">
        <v>4</v>
      </c>
      <c r="P139" s="59" t="s">
        <v>4</v>
      </c>
      <c r="Q139" s="96">
        <f t="shared" si="24"/>
        <v>1</v>
      </c>
      <c r="R139" s="59" t="s">
        <v>4</v>
      </c>
      <c r="S139" s="59" t="s">
        <v>4</v>
      </c>
      <c r="T139" s="59" t="s">
        <v>4</v>
      </c>
      <c r="U139" s="59" t="s">
        <v>4</v>
      </c>
      <c r="V139" s="45">
        <f t="shared" si="25"/>
        <v>1</v>
      </c>
      <c r="W139" s="59" t="s">
        <v>4</v>
      </c>
      <c r="X139" s="59" t="s">
        <v>4</v>
      </c>
      <c r="Y139" s="59" t="s">
        <v>4</v>
      </c>
      <c r="Z139" s="59" t="s">
        <v>4</v>
      </c>
      <c r="AA139" s="59" t="s">
        <v>4</v>
      </c>
      <c r="AB139" s="59" t="s">
        <v>4</v>
      </c>
      <c r="AC139" s="45">
        <f t="shared" si="26"/>
        <v>1.000000000000002</v>
      </c>
      <c r="AD139" s="43" t="s">
        <v>4</v>
      </c>
      <c r="AE139" s="43" t="s">
        <v>4</v>
      </c>
      <c r="AF139" s="97">
        <f t="shared" si="27"/>
        <v>1</v>
      </c>
      <c r="AG139" s="44">
        <f t="shared" si="28"/>
        <v>1.0000000000000004</v>
      </c>
      <c r="AH139" s="47">
        <f t="shared" si="29"/>
        <v>0</v>
      </c>
      <c r="AI139" s="47">
        <f>COUNTIF('Score BD'!$M139:$P139,"no")</f>
        <v>0</v>
      </c>
      <c r="AJ139" s="47">
        <f t="shared" si="30"/>
        <v>0</v>
      </c>
      <c r="AK139" s="47">
        <f t="shared" si="31"/>
        <v>0</v>
      </c>
      <c r="AL139" s="47">
        <f t="shared" si="32"/>
        <v>0</v>
      </c>
      <c r="AM139" s="59" t="s">
        <v>580</v>
      </c>
      <c r="AN139" s="104"/>
      <c r="AO139" s="104"/>
      <c r="AP139" s="104"/>
      <c r="AQ139" s="59" t="str">
        <f>IFERROR(_xlfn.XLOOKUP(Tabla1[[#This Row],[Cedula agente]],Lista!$B$2:$B$97,Lista!$G$2:$G$97)," ")</f>
        <v>Luisa Fernanda Benavides Castrillon</v>
      </c>
      <c r="AR139" s="59" t="s">
        <v>162</v>
      </c>
      <c r="AS139" s="47" t="str">
        <f>IFERROR(_xlfn.XLOOKUP(Tabla1[[#This Row],[Cedula agente]],Lista!$B$2:$B$97,Lista!$F$2:$F$97)," ")</f>
        <v>John Sebastian Roncancio Avendaño</v>
      </c>
      <c r="AT139" s="99">
        <v>0.95</v>
      </c>
      <c r="AU139" s="199">
        <f>+WEEKNUM('Score BD'!$H139)-WEEKNUM(DATE(YEAR('Score BD'!$H139),MONTH('Score BD'!$H139),1))+1</f>
        <v>3</v>
      </c>
    </row>
    <row r="140" spans="1:47" s="51" customFormat="1" ht="17.45" customHeight="1" x14ac:dyDescent="0.3">
      <c r="A140" s="49" t="str">
        <f t="shared" si="22"/>
        <v>Ministerio de Educación Nacional</v>
      </c>
      <c r="B140" s="50">
        <f>+IFERROR(COUNTIF($J$3:J140,J140)," ")</f>
        <v>17</v>
      </c>
      <c r="C140" s="54" t="str">
        <f>+'Score BD'!$J140&amp;'Score BD'!$B140</f>
        <v>Ana Graciela Barbosa Villalobos17</v>
      </c>
      <c r="D140" s="91" t="s">
        <v>148</v>
      </c>
      <c r="E140" s="92" t="s">
        <v>210</v>
      </c>
      <c r="F140" s="92" t="s">
        <v>212</v>
      </c>
      <c r="G140" s="60" t="str">
        <f t="shared" si="23"/>
        <v>Noviembre</v>
      </c>
      <c r="H140" s="65">
        <v>45973</v>
      </c>
      <c r="I140" s="243">
        <v>45972</v>
      </c>
      <c r="J140" s="57" t="s">
        <v>171</v>
      </c>
      <c r="K140" s="52">
        <f>IFERROR(VLOOKUP('Score BD'!$J140,Lista!A:B,2,0)," ")</f>
        <v>1026264261</v>
      </c>
      <c r="L140" s="61" t="s">
        <v>389</v>
      </c>
      <c r="M140" s="59" t="s">
        <v>4</v>
      </c>
      <c r="N140" s="59" t="s">
        <v>4</v>
      </c>
      <c r="O140" s="59" t="s">
        <v>4</v>
      </c>
      <c r="P140" s="59" t="s">
        <v>4</v>
      </c>
      <c r="Q140" s="96">
        <f t="shared" si="24"/>
        <v>1</v>
      </c>
      <c r="R140" s="59" t="s">
        <v>4</v>
      </c>
      <c r="S140" s="59" t="s">
        <v>4</v>
      </c>
      <c r="T140" s="59" t="s">
        <v>4</v>
      </c>
      <c r="U140" s="59" t="s">
        <v>4</v>
      </c>
      <c r="V140" s="45">
        <f t="shared" si="25"/>
        <v>1</v>
      </c>
      <c r="W140" s="59" t="s">
        <v>4</v>
      </c>
      <c r="X140" s="59" t="s">
        <v>4</v>
      </c>
      <c r="Y140" s="59" t="s">
        <v>4</v>
      </c>
      <c r="Z140" s="59" t="s">
        <v>4</v>
      </c>
      <c r="AA140" s="59" t="s">
        <v>4</v>
      </c>
      <c r="AB140" s="59" t="s">
        <v>4</v>
      </c>
      <c r="AC140" s="45">
        <f t="shared" si="26"/>
        <v>1.000000000000002</v>
      </c>
      <c r="AD140" s="43" t="s">
        <v>4</v>
      </c>
      <c r="AE140" s="43" t="s">
        <v>4</v>
      </c>
      <c r="AF140" s="97">
        <f t="shared" si="27"/>
        <v>1</v>
      </c>
      <c r="AG140" s="44">
        <f t="shared" si="28"/>
        <v>1.0000000000000004</v>
      </c>
      <c r="AH140" s="47">
        <f t="shared" si="29"/>
        <v>0</v>
      </c>
      <c r="AI140" s="47">
        <f>COUNTIF('Score BD'!$M140:$P140,"no")</f>
        <v>0</v>
      </c>
      <c r="AJ140" s="47">
        <f t="shared" si="30"/>
        <v>0</v>
      </c>
      <c r="AK140" s="47">
        <f t="shared" si="31"/>
        <v>0</v>
      </c>
      <c r="AL140" s="47">
        <f t="shared" si="32"/>
        <v>0</v>
      </c>
      <c r="AM140" s="157" t="s">
        <v>581</v>
      </c>
      <c r="AN140" s="46"/>
      <c r="AO140" s="43"/>
      <c r="AP140" s="43"/>
      <c r="AQ140" s="59" t="str">
        <f>IFERROR(_xlfn.XLOOKUP(Tabla1[[#This Row],[Cedula agente]],Lista!$B$2:$B$97,Lista!$G$2:$G$97)," ")</f>
        <v>Luisa Fernanda Benavides Castrillon</v>
      </c>
      <c r="AR140" s="59" t="s">
        <v>162</v>
      </c>
      <c r="AS140" s="47" t="str">
        <f>IFERROR(_xlfn.XLOOKUP(Tabla1[[#This Row],[Cedula agente]],Lista!$B$2:$B$97,Lista!$F$2:$F$97)," ")</f>
        <v>John Sebastian Roncancio Avendaño</v>
      </c>
      <c r="AT140" s="99">
        <v>0.95</v>
      </c>
      <c r="AU140" s="199">
        <f>+WEEKNUM('Score BD'!$H140)-WEEKNUM(DATE(YEAR('Score BD'!$H140),MONTH('Score BD'!$H140),1))+1</f>
        <v>3</v>
      </c>
    </row>
    <row r="141" spans="1:47" s="51" customFormat="1" ht="17.45" customHeight="1" x14ac:dyDescent="0.3">
      <c r="A141" s="49" t="str">
        <f t="shared" si="22"/>
        <v>Ministerio de Educación Nacional</v>
      </c>
      <c r="B141" s="50">
        <f>+IFERROR(COUNTIF($J$3:J141,J141)," ")</f>
        <v>18</v>
      </c>
      <c r="C141" s="54" t="str">
        <f>+'Score BD'!$J141&amp;'Score BD'!$B141</f>
        <v>Ana Graciela Barbosa Villalobos18</v>
      </c>
      <c r="D141" s="91" t="s">
        <v>148</v>
      </c>
      <c r="E141" s="92" t="s">
        <v>210</v>
      </c>
      <c r="F141" s="92" t="s">
        <v>212</v>
      </c>
      <c r="G141" s="60" t="str">
        <f t="shared" si="23"/>
        <v>Noviembre</v>
      </c>
      <c r="H141" s="65">
        <v>45973</v>
      </c>
      <c r="I141" s="243">
        <v>45972</v>
      </c>
      <c r="J141" s="57" t="s">
        <v>171</v>
      </c>
      <c r="K141" s="52">
        <f>IFERROR(VLOOKUP('Score BD'!$J141,Lista!A:B,2,0)," ")</f>
        <v>1026264261</v>
      </c>
      <c r="L141" s="61" t="s">
        <v>390</v>
      </c>
      <c r="M141" s="59" t="s">
        <v>4</v>
      </c>
      <c r="N141" s="59" t="s">
        <v>4</v>
      </c>
      <c r="O141" s="59" t="s">
        <v>4</v>
      </c>
      <c r="P141" s="59" t="s">
        <v>4</v>
      </c>
      <c r="Q141" s="96">
        <f t="shared" si="24"/>
        <v>1</v>
      </c>
      <c r="R141" s="59" t="s">
        <v>4</v>
      </c>
      <c r="S141" s="59" t="s">
        <v>4</v>
      </c>
      <c r="T141" s="59" t="s">
        <v>4</v>
      </c>
      <c r="U141" s="59" t="s">
        <v>4</v>
      </c>
      <c r="V141" s="45">
        <f t="shared" si="25"/>
        <v>1</v>
      </c>
      <c r="W141" s="59" t="s">
        <v>4</v>
      </c>
      <c r="X141" s="59" t="s">
        <v>4</v>
      </c>
      <c r="Y141" s="59" t="s">
        <v>4</v>
      </c>
      <c r="Z141" s="59" t="s">
        <v>4</v>
      </c>
      <c r="AA141" s="59" t="s">
        <v>4</v>
      </c>
      <c r="AB141" s="59" t="s">
        <v>4</v>
      </c>
      <c r="AC141" s="45">
        <f t="shared" si="26"/>
        <v>1.000000000000002</v>
      </c>
      <c r="AD141" s="43" t="s">
        <v>4</v>
      </c>
      <c r="AE141" s="43" t="s">
        <v>4</v>
      </c>
      <c r="AF141" s="97">
        <f t="shared" si="27"/>
        <v>1</v>
      </c>
      <c r="AG141" s="44">
        <f t="shared" si="28"/>
        <v>1.0000000000000004</v>
      </c>
      <c r="AH141" s="47">
        <f t="shared" si="29"/>
        <v>0</v>
      </c>
      <c r="AI141" s="47">
        <f>COUNTIF('Score BD'!$M141:$P141,"no")</f>
        <v>0</v>
      </c>
      <c r="AJ141" s="47">
        <f t="shared" si="30"/>
        <v>0</v>
      </c>
      <c r="AK141" s="47">
        <f t="shared" si="31"/>
        <v>0</v>
      </c>
      <c r="AL141" s="47">
        <f t="shared" si="32"/>
        <v>0</v>
      </c>
      <c r="AM141" s="157" t="s">
        <v>581</v>
      </c>
      <c r="AN141" s="46"/>
      <c r="AO141" s="43"/>
      <c r="AP141" s="43"/>
      <c r="AQ141" s="59" t="str">
        <f>IFERROR(_xlfn.XLOOKUP(Tabla1[[#This Row],[Cedula agente]],Lista!$B$2:$B$97,Lista!$G$2:$G$97)," ")</f>
        <v>Luisa Fernanda Benavides Castrillon</v>
      </c>
      <c r="AR141" s="59" t="s">
        <v>162</v>
      </c>
      <c r="AS141" s="47" t="str">
        <f>IFERROR(_xlfn.XLOOKUP(Tabla1[[#This Row],[Cedula agente]],Lista!$B$2:$B$97,Lista!$F$2:$F$97)," ")</f>
        <v>John Sebastian Roncancio Avendaño</v>
      </c>
      <c r="AT141" s="99">
        <v>0.95</v>
      </c>
      <c r="AU141" s="199">
        <f>+WEEKNUM('Score BD'!$H141)-WEEKNUM(DATE(YEAR('Score BD'!$H141),MONTH('Score BD'!$H141),1))+1</f>
        <v>3</v>
      </c>
    </row>
    <row r="142" spans="1:47" s="51" customFormat="1" ht="17.45" customHeight="1" x14ac:dyDescent="0.3">
      <c r="A142" s="49" t="str">
        <f t="shared" si="22"/>
        <v>Ministerio de Educación Nacional</v>
      </c>
      <c r="B142" s="50">
        <f>+IFERROR(COUNTIF($J$3:J142,J142)," ")</f>
        <v>4</v>
      </c>
      <c r="C142" s="54" t="str">
        <f>+'Score BD'!$J142&amp;'Score BD'!$B142</f>
        <v>Andrés Felipe Silva Martínez4</v>
      </c>
      <c r="D142" s="91" t="s">
        <v>148</v>
      </c>
      <c r="E142" s="92" t="s">
        <v>208</v>
      </c>
      <c r="F142" s="92" t="s">
        <v>212</v>
      </c>
      <c r="G142" s="60" t="str">
        <f t="shared" si="23"/>
        <v>Noviembre</v>
      </c>
      <c r="H142" s="65">
        <v>45973</v>
      </c>
      <c r="I142" s="243">
        <v>45972</v>
      </c>
      <c r="J142" s="57" t="s">
        <v>228</v>
      </c>
      <c r="K142" s="52">
        <f>IFERROR(VLOOKUP('Score BD'!$J142,Lista!A:B,2,0)," ")</f>
        <v>1120362660</v>
      </c>
      <c r="L142" s="61" t="s">
        <v>391</v>
      </c>
      <c r="M142" s="59" t="s">
        <v>4</v>
      </c>
      <c r="N142" s="59" t="s">
        <v>4</v>
      </c>
      <c r="O142" s="59" t="s">
        <v>4</v>
      </c>
      <c r="P142" s="59" t="s">
        <v>4</v>
      </c>
      <c r="Q142" s="96">
        <f t="shared" si="24"/>
        <v>1</v>
      </c>
      <c r="R142" s="59" t="s">
        <v>4</v>
      </c>
      <c r="S142" s="59" t="s">
        <v>4</v>
      </c>
      <c r="T142" s="59" t="s">
        <v>4</v>
      </c>
      <c r="U142" s="59" t="s">
        <v>4</v>
      </c>
      <c r="V142" s="45">
        <f t="shared" si="25"/>
        <v>1</v>
      </c>
      <c r="W142" s="59" t="s">
        <v>4</v>
      </c>
      <c r="X142" s="59" t="s">
        <v>4</v>
      </c>
      <c r="Y142" s="59" t="s">
        <v>4</v>
      </c>
      <c r="Z142" s="59" t="s">
        <v>4</v>
      </c>
      <c r="AA142" s="59" t="s">
        <v>4</v>
      </c>
      <c r="AB142" s="59" t="s">
        <v>4</v>
      </c>
      <c r="AC142" s="45">
        <f t="shared" si="26"/>
        <v>1.000000000000002</v>
      </c>
      <c r="AD142" s="43" t="s">
        <v>4</v>
      </c>
      <c r="AE142" s="43" t="s">
        <v>4</v>
      </c>
      <c r="AF142" s="97">
        <f t="shared" si="27"/>
        <v>1</v>
      </c>
      <c r="AG142" s="44">
        <f t="shared" si="28"/>
        <v>1.0000000000000004</v>
      </c>
      <c r="AH142" s="47">
        <f t="shared" si="29"/>
        <v>0</v>
      </c>
      <c r="AI142" s="47">
        <f>COUNTIF('Score BD'!$M142:$P142,"no")</f>
        <v>0</v>
      </c>
      <c r="AJ142" s="47">
        <f t="shared" si="30"/>
        <v>0</v>
      </c>
      <c r="AK142" s="47">
        <f t="shared" si="31"/>
        <v>0</v>
      </c>
      <c r="AL142" s="47">
        <f t="shared" si="32"/>
        <v>0</v>
      </c>
      <c r="AM142" s="157" t="s">
        <v>581</v>
      </c>
      <c r="AN142" s="46"/>
      <c r="AO142" s="43"/>
      <c r="AP142" s="43"/>
      <c r="AQ142" s="59" t="str">
        <f>IFERROR(_xlfn.XLOOKUP(Tabla1[[#This Row],[Cedula agente]],Lista!$B$2:$B$97,Lista!$G$2:$G$97)," ")</f>
        <v>Luisa Fernanda Benavides Castrillon</v>
      </c>
      <c r="AR142" s="59" t="s">
        <v>162</v>
      </c>
      <c r="AS142" s="47" t="str">
        <f>IFERROR(_xlfn.XLOOKUP(Tabla1[[#This Row],[Cedula agente]],Lista!$B$2:$B$97,Lista!$F$2:$F$97)," ")</f>
        <v>John Sebastian Roncancio Avendaño</v>
      </c>
      <c r="AT142" s="99">
        <v>0.95</v>
      </c>
      <c r="AU142" s="199">
        <f>+WEEKNUM('Score BD'!$H142)-WEEKNUM(DATE(YEAR('Score BD'!$H142),MONTH('Score BD'!$H142),1))+1</f>
        <v>3</v>
      </c>
    </row>
    <row r="143" spans="1:47" s="51" customFormat="1" ht="17.45" customHeight="1" x14ac:dyDescent="0.3">
      <c r="A143" s="49" t="str">
        <f t="shared" si="22"/>
        <v>Ministerio de Educación Nacional</v>
      </c>
      <c r="B143" s="50">
        <f>+IFERROR(COUNTIF($J$3:J143,J143)," ")</f>
        <v>6</v>
      </c>
      <c r="C143" s="54" t="str">
        <f>+'Score BD'!$J143&amp;'Score BD'!$B143</f>
        <v>Cesar Rodrigo García6</v>
      </c>
      <c r="D143" s="91" t="s">
        <v>148</v>
      </c>
      <c r="E143" s="92" t="s">
        <v>165</v>
      </c>
      <c r="F143" s="92" t="s">
        <v>212</v>
      </c>
      <c r="G143" s="60" t="str">
        <f t="shared" si="23"/>
        <v>Noviembre</v>
      </c>
      <c r="H143" s="65">
        <v>45973</v>
      </c>
      <c r="I143" s="243">
        <v>45972</v>
      </c>
      <c r="J143" s="57" t="s">
        <v>172</v>
      </c>
      <c r="K143" s="52">
        <f>IFERROR(VLOOKUP('Score BD'!$J143,Lista!A:B,2,0)," ")</f>
        <v>1069257937</v>
      </c>
      <c r="L143" s="61" t="s">
        <v>392</v>
      </c>
      <c r="M143" s="59" t="s">
        <v>4</v>
      </c>
      <c r="N143" s="59" t="s">
        <v>4</v>
      </c>
      <c r="O143" s="59" t="s">
        <v>4</v>
      </c>
      <c r="P143" s="59" t="s">
        <v>4</v>
      </c>
      <c r="Q143" s="96">
        <f t="shared" si="24"/>
        <v>1</v>
      </c>
      <c r="R143" s="59" t="s">
        <v>4</v>
      </c>
      <c r="S143" s="59" t="s">
        <v>4</v>
      </c>
      <c r="T143" s="59" t="s">
        <v>4</v>
      </c>
      <c r="U143" s="59" t="s">
        <v>4</v>
      </c>
      <c r="V143" s="45">
        <f t="shared" si="25"/>
        <v>1</v>
      </c>
      <c r="W143" s="59" t="s">
        <v>4</v>
      </c>
      <c r="X143" s="59" t="s">
        <v>4</v>
      </c>
      <c r="Y143" s="59" t="s">
        <v>4</v>
      </c>
      <c r="Z143" s="59" t="s">
        <v>4</v>
      </c>
      <c r="AA143" s="59" t="s">
        <v>4</v>
      </c>
      <c r="AB143" s="59" t="s">
        <v>4</v>
      </c>
      <c r="AC143" s="45">
        <f t="shared" si="26"/>
        <v>1.000000000000002</v>
      </c>
      <c r="AD143" s="43" t="s">
        <v>4</v>
      </c>
      <c r="AE143" s="43" t="s">
        <v>4</v>
      </c>
      <c r="AF143" s="97">
        <f t="shared" si="27"/>
        <v>1</v>
      </c>
      <c r="AG143" s="44">
        <f t="shared" si="28"/>
        <v>1.0000000000000004</v>
      </c>
      <c r="AH143" s="47">
        <f t="shared" si="29"/>
        <v>0</v>
      </c>
      <c r="AI143" s="47">
        <f>COUNTIF('Score BD'!$M143:$P143,"no")</f>
        <v>0</v>
      </c>
      <c r="AJ143" s="47">
        <f t="shared" si="30"/>
        <v>0</v>
      </c>
      <c r="AK143" s="47">
        <f t="shared" si="31"/>
        <v>0</v>
      </c>
      <c r="AL143" s="47">
        <f t="shared" si="32"/>
        <v>0</v>
      </c>
      <c r="AM143" s="157" t="s">
        <v>581</v>
      </c>
      <c r="AN143" s="46"/>
      <c r="AO143" s="43"/>
      <c r="AP143" s="43"/>
      <c r="AQ143" s="59" t="str">
        <f>IFERROR(_xlfn.XLOOKUP(Tabla1[[#This Row],[Cedula agente]],Lista!$B$2:$B$97,Lista!$G$2:$G$97)," ")</f>
        <v>Luisa Fernanda Benavides Castrillon</v>
      </c>
      <c r="AR143" s="59" t="s">
        <v>162</v>
      </c>
      <c r="AS143" s="47" t="str">
        <f>IFERROR(_xlfn.XLOOKUP(Tabla1[[#This Row],[Cedula agente]],Lista!$B$2:$B$97,Lista!$F$2:$F$97)," ")</f>
        <v>John Sebastian Roncancio Avendaño</v>
      </c>
      <c r="AT143" s="99">
        <v>0.95</v>
      </c>
      <c r="AU143" s="199">
        <f>+WEEKNUM('Score BD'!$H143)-WEEKNUM(DATE(YEAR('Score BD'!$H143),MONTH('Score BD'!$H143),1))+1</f>
        <v>3</v>
      </c>
    </row>
    <row r="144" spans="1:47" s="51" customFormat="1" ht="17.45" customHeight="1" x14ac:dyDescent="0.3">
      <c r="A144" s="49" t="str">
        <f t="shared" si="22"/>
        <v>Ministerio de Educación Nacional</v>
      </c>
      <c r="B144" s="50">
        <f>+IFERROR(COUNTIF($J$3:J144,J144)," ")</f>
        <v>6</v>
      </c>
      <c r="C144" s="54" t="str">
        <f>+'Score BD'!$J144&amp;'Score BD'!$B144</f>
        <v>Cristian Enrique Benitez Rodriguez6</v>
      </c>
      <c r="D144" s="91" t="s">
        <v>148</v>
      </c>
      <c r="E144" s="92" t="s">
        <v>165</v>
      </c>
      <c r="F144" s="92" t="s">
        <v>212</v>
      </c>
      <c r="G144" s="60" t="str">
        <f t="shared" si="23"/>
        <v>Noviembre</v>
      </c>
      <c r="H144" s="65">
        <v>45973</v>
      </c>
      <c r="I144" s="243">
        <v>45972</v>
      </c>
      <c r="J144" s="57" t="s">
        <v>173</v>
      </c>
      <c r="K144" s="52">
        <f>IFERROR(VLOOKUP('Score BD'!$J144,Lista!A:B,2,0)," ")</f>
        <v>1026574814</v>
      </c>
      <c r="L144" s="61" t="s">
        <v>393</v>
      </c>
      <c r="M144" s="59" t="s">
        <v>4</v>
      </c>
      <c r="N144" s="59" t="s">
        <v>4</v>
      </c>
      <c r="O144" s="59" t="s">
        <v>4</v>
      </c>
      <c r="P144" s="59" t="s">
        <v>4</v>
      </c>
      <c r="Q144" s="96">
        <f t="shared" si="24"/>
        <v>1</v>
      </c>
      <c r="R144" s="59" t="s">
        <v>4</v>
      </c>
      <c r="S144" s="59" t="s">
        <v>4</v>
      </c>
      <c r="T144" s="59" t="s">
        <v>4</v>
      </c>
      <c r="U144" s="59" t="s">
        <v>4</v>
      </c>
      <c r="V144" s="45">
        <f t="shared" si="25"/>
        <v>1</v>
      </c>
      <c r="W144" s="59" t="s">
        <v>4</v>
      </c>
      <c r="X144" s="59" t="s">
        <v>4</v>
      </c>
      <c r="Y144" s="59" t="s">
        <v>4</v>
      </c>
      <c r="Z144" s="59" t="s">
        <v>4</v>
      </c>
      <c r="AA144" s="59" t="s">
        <v>4</v>
      </c>
      <c r="AB144" s="59" t="s">
        <v>4</v>
      </c>
      <c r="AC144" s="45">
        <f t="shared" si="26"/>
        <v>1.000000000000002</v>
      </c>
      <c r="AD144" s="43" t="s">
        <v>4</v>
      </c>
      <c r="AE144" s="43" t="s">
        <v>4</v>
      </c>
      <c r="AF144" s="97">
        <f t="shared" si="27"/>
        <v>1</v>
      </c>
      <c r="AG144" s="44">
        <f t="shared" si="28"/>
        <v>1.0000000000000004</v>
      </c>
      <c r="AH144" s="47">
        <f t="shared" si="29"/>
        <v>0</v>
      </c>
      <c r="AI144" s="47">
        <f>COUNTIF('Score BD'!$M144:$P144,"no")</f>
        <v>0</v>
      </c>
      <c r="AJ144" s="47">
        <f t="shared" si="30"/>
        <v>0</v>
      </c>
      <c r="AK144" s="47">
        <f t="shared" si="31"/>
        <v>0</v>
      </c>
      <c r="AL144" s="47">
        <f t="shared" si="32"/>
        <v>0</v>
      </c>
      <c r="AM144" s="157" t="s">
        <v>581</v>
      </c>
      <c r="AN144" s="46"/>
      <c r="AO144" s="43"/>
      <c r="AP144" s="43"/>
      <c r="AQ144" s="59" t="str">
        <f>IFERROR(_xlfn.XLOOKUP(Tabla1[[#This Row],[Cedula agente]],Lista!$B$2:$B$97,Lista!$G$2:$G$97)," ")</f>
        <v>Luisa Fernanda Benavides Castrillon</v>
      </c>
      <c r="AR144" s="59" t="s">
        <v>162</v>
      </c>
      <c r="AS144" s="47" t="str">
        <f>IFERROR(_xlfn.XLOOKUP(Tabla1[[#This Row],[Cedula agente]],Lista!$B$2:$B$97,Lista!$F$2:$F$97)," ")</f>
        <v>John Sebastian Roncancio Avendaño</v>
      </c>
      <c r="AT144" s="99">
        <v>0.95</v>
      </c>
      <c r="AU144" s="199">
        <f>+WEEKNUM('Score BD'!$H144)-WEEKNUM(DATE(YEAR('Score BD'!$H144),MONTH('Score BD'!$H144),1))+1</f>
        <v>3</v>
      </c>
    </row>
    <row r="145" spans="1:47" s="51" customFormat="1" ht="17.45" customHeight="1" x14ac:dyDescent="0.3">
      <c r="A145" s="49" t="str">
        <f t="shared" si="22"/>
        <v>Ministerio de Educación Nacional</v>
      </c>
      <c r="B145" s="50">
        <f>+IFERROR(COUNTIF($J$3:J145,J145)," ")</f>
        <v>3</v>
      </c>
      <c r="C145" s="54" t="str">
        <f>+'Score BD'!$J145&amp;'Score BD'!$B145</f>
        <v>Daniela Murillo Solano3</v>
      </c>
      <c r="D145" s="91" t="s">
        <v>148</v>
      </c>
      <c r="E145" s="92" t="s">
        <v>211</v>
      </c>
      <c r="F145" s="92" t="s">
        <v>212</v>
      </c>
      <c r="G145" s="60" t="str">
        <f t="shared" si="23"/>
        <v>Noviembre</v>
      </c>
      <c r="H145" s="65">
        <v>45973</v>
      </c>
      <c r="I145" s="243">
        <v>45972</v>
      </c>
      <c r="J145" s="57" t="s">
        <v>203</v>
      </c>
      <c r="K145" s="52">
        <f>IFERROR(VLOOKUP('Score BD'!$J145,Lista!A:B,2,0)," ")</f>
        <v>1234194276</v>
      </c>
      <c r="L145" s="61" t="s">
        <v>394</v>
      </c>
      <c r="M145" s="59" t="s">
        <v>4</v>
      </c>
      <c r="N145" s="59" t="s">
        <v>4</v>
      </c>
      <c r="O145" s="59" t="s">
        <v>4</v>
      </c>
      <c r="P145" s="59" t="s">
        <v>4</v>
      </c>
      <c r="Q145" s="96">
        <f t="shared" si="24"/>
        <v>1</v>
      </c>
      <c r="R145" s="59" t="s">
        <v>4</v>
      </c>
      <c r="S145" s="59" t="s">
        <v>4</v>
      </c>
      <c r="T145" s="59" t="s">
        <v>4</v>
      </c>
      <c r="U145" s="59" t="s">
        <v>4</v>
      </c>
      <c r="V145" s="45">
        <f t="shared" si="25"/>
        <v>1</v>
      </c>
      <c r="W145" s="59" t="s">
        <v>4</v>
      </c>
      <c r="X145" s="59" t="s">
        <v>4</v>
      </c>
      <c r="Y145" s="59" t="s">
        <v>4</v>
      </c>
      <c r="Z145" s="59" t="s">
        <v>4</v>
      </c>
      <c r="AA145" s="59" t="s">
        <v>4</v>
      </c>
      <c r="AB145" s="59" t="s">
        <v>4</v>
      </c>
      <c r="AC145" s="45">
        <f t="shared" si="26"/>
        <v>1.000000000000002</v>
      </c>
      <c r="AD145" s="43" t="s">
        <v>4</v>
      </c>
      <c r="AE145" s="43" t="s">
        <v>4</v>
      </c>
      <c r="AF145" s="97">
        <f t="shared" si="27"/>
        <v>1</v>
      </c>
      <c r="AG145" s="44">
        <f t="shared" si="28"/>
        <v>1.0000000000000004</v>
      </c>
      <c r="AH145" s="47">
        <f t="shared" si="29"/>
        <v>0</v>
      </c>
      <c r="AI145" s="47">
        <f>COUNTIF('Score BD'!$M145:$P145,"no")</f>
        <v>0</v>
      </c>
      <c r="AJ145" s="47">
        <f t="shared" si="30"/>
        <v>0</v>
      </c>
      <c r="AK145" s="47">
        <f t="shared" si="31"/>
        <v>0</v>
      </c>
      <c r="AL145" s="47">
        <f t="shared" si="32"/>
        <v>0</v>
      </c>
      <c r="AM145" s="157" t="s">
        <v>581</v>
      </c>
      <c r="AN145" s="46"/>
      <c r="AO145" s="43"/>
      <c r="AP145" s="43"/>
      <c r="AQ145" s="59" t="str">
        <f>IFERROR(_xlfn.XLOOKUP(Tabla1[[#This Row],[Cedula agente]],Lista!$B$2:$B$97,Lista!$G$2:$G$97)," ")</f>
        <v>Luisa Fernanda Benavides Castrillon</v>
      </c>
      <c r="AR145" s="59" t="s">
        <v>162</v>
      </c>
      <c r="AS145" s="47" t="str">
        <f>IFERROR(_xlfn.XLOOKUP(Tabla1[[#This Row],[Cedula agente]],Lista!$B$2:$B$97,Lista!$F$2:$F$97)," ")</f>
        <v>John Sebastian Roncancio Avendaño</v>
      </c>
      <c r="AT145" s="99">
        <v>0.95</v>
      </c>
      <c r="AU145" s="199">
        <f>+WEEKNUM('Score BD'!$H145)-WEEKNUM(DATE(YEAR('Score BD'!$H145),MONTH('Score BD'!$H145),1))+1</f>
        <v>3</v>
      </c>
    </row>
    <row r="146" spans="1:47" s="51" customFormat="1" ht="17.45" customHeight="1" x14ac:dyDescent="0.3">
      <c r="A146" s="49" t="str">
        <f t="shared" si="22"/>
        <v>Ministerio de Educación Nacional</v>
      </c>
      <c r="B146" s="50">
        <f>+IFERROR(COUNTIF($J$3:J146,J146)," ")</f>
        <v>15</v>
      </c>
      <c r="C146" s="54" t="str">
        <f>+'Score BD'!$J146&amp;'Score BD'!$B146</f>
        <v>Erika Natalia Ramírez Herrera15</v>
      </c>
      <c r="D146" s="91" t="s">
        <v>148</v>
      </c>
      <c r="E146" s="92" t="s">
        <v>164</v>
      </c>
      <c r="F146" s="92" t="s">
        <v>212</v>
      </c>
      <c r="G146" s="60" t="str">
        <f t="shared" si="23"/>
        <v>Noviembre</v>
      </c>
      <c r="H146" s="65">
        <v>45973</v>
      </c>
      <c r="I146" s="243">
        <v>45972</v>
      </c>
      <c r="J146" s="57" t="s">
        <v>174</v>
      </c>
      <c r="K146" s="52">
        <f>IFERROR(VLOOKUP('Score BD'!$J146,Lista!A:B,2,0)," ")</f>
        <v>1032367072</v>
      </c>
      <c r="L146" s="61" t="s">
        <v>395</v>
      </c>
      <c r="M146" s="59" t="s">
        <v>4</v>
      </c>
      <c r="N146" s="59" t="s">
        <v>4</v>
      </c>
      <c r="O146" s="59" t="s">
        <v>4</v>
      </c>
      <c r="P146" s="59" t="s">
        <v>4</v>
      </c>
      <c r="Q146" s="96">
        <f t="shared" si="24"/>
        <v>1</v>
      </c>
      <c r="R146" s="59" t="s">
        <v>4</v>
      </c>
      <c r="S146" s="59" t="s">
        <v>4</v>
      </c>
      <c r="T146" s="59" t="s">
        <v>4</v>
      </c>
      <c r="U146" s="59" t="s">
        <v>4</v>
      </c>
      <c r="V146" s="45">
        <f t="shared" si="25"/>
        <v>1</v>
      </c>
      <c r="W146" s="59" t="s">
        <v>4</v>
      </c>
      <c r="X146" s="59" t="s">
        <v>4</v>
      </c>
      <c r="Y146" s="59" t="s">
        <v>4</v>
      </c>
      <c r="Z146" s="59" t="s">
        <v>4</v>
      </c>
      <c r="AA146" s="59" t="s">
        <v>4</v>
      </c>
      <c r="AB146" s="59" t="s">
        <v>4</v>
      </c>
      <c r="AC146" s="45">
        <f t="shared" si="26"/>
        <v>1.000000000000002</v>
      </c>
      <c r="AD146" s="43" t="s">
        <v>4</v>
      </c>
      <c r="AE146" s="43" t="s">
        <v>4</v>
      </c>
      <c r="AF146" s="97">
        <f t="shared" si="27"/>
        <v>1</v>
      </c>
      <c r="AG146" s="44">
        <f t="shared" si="28"/>
        <v>1.0000000000000004</v>
      </c>
      <c r="AH146" s="47">
        <f t="shared" si="29"/>
        <v>0</v>
      </c>
      <c r="AI146" s="47">
        <f>COUNTIF('Score BD'!$M146:$P146,"no")</f>
        <v>0</v>
      </c>
      <c r="AJ146" s="47">
        <f t="shared" si="30"/>
        <v>0</v>
      </c>
      <c r="AK146" s="47">
        <f t="shared" si="31"/>
        <v>0</v>
      </c>
      <c r="AL146" s="47">
        <f t="shared" si="32"/>
        <v>0</v>
      </c>
      <c r="AM146" s="157" t="s">
        <v>581</v>
      </c>
      <c r="AN146" s="46"/>
      <c r="AO146" s="43"/>
      <c r="AP146" s="43"/>
      <c r="AQ146" s="59" t="str">
        <f>IFERROR(_xlfn.XLOOKUP(Tabla1[[#This Row],[Cedula agente]],Lista!$B$2:$B$97,Lista!$G$2:$G$97)," ")</f>
        <v>Luisa Fernanda Benavides Castrillon</v>
      </c>
      <c r="AR146" s="59" t="s">
        <v>162</v>
      </c>
      <c r="AS146" s="47" t="str">
        <f>IFERROR(_xlfn.XLOOKUP(Tabla1[[#This Row],[Cedula agente]],Lista!$B$2:$B$97,Lista!$F$2:$F$97)," ")</f>
        <v>John Sebastian Roncancio Avendaño</v>
      </c>
      <c r="AT146" s="99">
        <v>0.95</v>
      </c>
      <c r="AU146" s="199">
        <f>+WEEKNUM('Score BD'!$H146)-WEEKNUM(DATE(YEAR('Score BD'!$H146),MONTH('Score BD'!$H146),1))+1</f>
        <v>3</v>
      </c>
    </row>
    <row r="147" spans="1:47" s="51" customFormat="1" ht="17.45" customHeight="1" x14ac:dyDescent="0.3">
      <c r="A147" s="49" t="str">
        <f t="shared" si="22"/>
        <v>Ministerio de Educación Nacional</v>
      </c>
      <c r="B147" s="50">
        <f>+IFERROR(COUNTIF($J$3:J147,J147)," ")</f>
        <v>16</v>
      </c>
      <c r="C147" s="54" t="str">
        <f>+'Score BD'!$J147&amp;'Score BD'!$B147</f>
        <v>Erika Natalia Ramírez Herrera16</v>
      </c>
      <c r="D147" s="91" t="s">
        <v>148</v>
      </c>
      <c r="E147" s="92" t="s">
        <v>164</v>
      </c>
      <c r="F147" s="92" t="s">
        <v>212</v>
      </c>
      <c r="G147" s="60" t="str">
        <f t="shared" si="23"/>
        <v>Noviembre</v>
      </c>
      <c r="H147" s="65">
        <v>45973</v>
      </c>
      <c r="I147" s="243">
        <v>45972</v>
      </c>
      <c r="J147" s="57" t="s">
        <v>174</v>
      </c>
      <c r="K147" s="52">
        <f>IFERROR(VLOOKUP('Score BD'!$J147,Lista!A:B,2,0)," ")</f>
        <v>1032367072</v>
      </c>
      <c r="L147" s="61" t="s">
        <v>396</v>
      </c>
      <c r="M147" s="59" t="s">
        <v>4</v>
      </c>
      <c r="N147" s="59" t="s">
        <v>4</v>
      </c>
      <c r="O147" s="59" t="s">
        <v>4</v>
      </c>
      <c r="P147" s="59" t="s">
        <v>4</v>
      </c>
      <c r="Q147" s="96">
        <f t="shared" si="24"/>
        <v>1</v>
      </c>
      <c r="R147" s="59" t="s">
        <v>4</v>
      </c>
      <c r="S147" s="59" t="s">
        <v>4</v>
      </c>
      <c r="T147" s="59" t="s">
        <v>4</v>
      </c>
      <c r="U147" s="59" t="s">
        <v>4</v>
      </c>
      <c r="V147" s="45">
        <f t="shared" si="25"/>
        <v>1</v>
      </c>
      <c r="W147" s="59" t="s">
        <v>4</v>
      </c>
      <c r="X147" s="59" t="s">
        <v>4</v>
      </c>
      <c r="Y147" s="59" t="s">
        <v>4</v>
      </c>
      <c r="Z147" s="59" t="s">
        <v>4</v>
      </c>
      <c r="AA147" s="59" t="s">
        <v>4</v>
      </c>
      <c r="AB147" s="59" t="s">
        <v>4</v>
      </c>
      <c r="AC147" s="45">
        <f t="shared" si="26"/>
        <v>1.000000000000002</v>
      </c>
      <c r="AD147" s="43" t="s">
        <v>4</v>
      </c>
      <c r="AE147" s="43" t="s">
        <v>4</v>
      </c>
      <c r="AF147" s="97">
        <f t="shared" si="27"/>
        <v>1</v>
      </c>
      <c r="AG147" s="44">
        <f t="shared" si="28"/>
        <v>1.0000000000000004</v>
      </c>
      <c r="AH147" s="47">
        <f t="shared" si="29"/>
        <v>0</v>
      </c>
      <c r="AI147" s="47">
        <f>COUNTIF('Score BD'!$M147:$P147,"no")</f>
        <v>0</v>
      </c>
      <c r="AJ147" s="47">
        <f t="shared" si="30"/>
        <v>0</v>
      </c>
      <c r="AK147" s="47">
        <f t="shared" si="31"/>
        <v>0</v>
      </c>
      <c r="AL147" s="47">
        <f t="shared" si="32"/>
        <v>0</v>
      </c>
      <c r="AM147" s="157" t="s">
        <v>581</v>
      </c>
      <c r="AN147" s="46"/>
      <c r="AO147" s="43"/>
      <c r="AP147" s="43"/>
      <c r="AQ147" s="59" t="str">
        <f>IFERROR(_xlfn.XLOOKUP(Tabla1[[#This Row],[Cedula agente]],Lista!$B$2:$B$97,Lista!$G$2:$G$97)," ")</f>
        <v>Luisa Fernanda Benavides Castrillon</v>
      </c>
      <c r="AR147" s="59" t="s">
        <v>162</v>
      </c>
      <c r="AS147" s="47" t="str">
        <f>IFERROR(_xlfn.XLOOKUP(Tabla1[[#This Row],[Cedula agente]],Lista!$B$2:$B$97,Lista!$F$2:$F$97)," ")</f>
        <v>John Sebastian Roncancio Avendaño</v>
      </c>
      <c r="AT147" s="99">
        <v>0.95</v>
      </c>
      <c r="AU147" s="199">
        <f>+WEEKNUM('Score BD'!$H147)-WEEKNUM(DATE(YEAR('Score BD'!$H147),MONTH('Score BD'!$H147),1))+1</f>
        <v>3</v>
      </c>
    </row>
    <row r="148" spans="1:47" s="51" customFormat="1" ht="17.45" customHeight="1" x14ac:dyDescent="0.3">
      <c r="A148" s="49" t="str">
        <f t="shared" si="22"/>
        <v>Ministerio de Educación Nacional</v>
      </c>
      <c r="B148" s="50">
        <f>+IFERROR(COUNTIF($J$3:J148,J148)," ")</f>
        <v>17</v>
      </c>
      <c r="C148" s="54" t="str">
        <f>+'Score BD'!$J148&amp;'Score BD'!$B148</f>
        <v>Erika Natalia Ramírez Herrera17</v>
      </c>
      <c r="D148" s="91" t="s">
        <v>148</v>
      </c>
      <c r="E148" s="92" t="s">
        <v>164</v>
      </c>
      <c r="F148" s="92" t="s">
        <v>212</v>
      </c>
      <c r="G148" s="60" t="str">
        <f t="shared" si="23"/>
        <v>Noviembre</v>
      </c>
      <c r="H148" s="65">
        <v>45973</v>
      </c>
      <c r="I148" s="243">
        <v>45972</v>
      </c>
      <c r="J148" s="57" t="s">
        <v>174</v>
      </c>
      <c r="K148" s="52">
        <f>IFERROR(VLOOKUP('Score BD'!$J148,Lista!A:B,2,0)," ")</f>
        <v>1032367072</v>
      </c>
      <c r="L148" s="61" t="s">
        <v>397</v>
      </c>
      <c r="M148" s="59" t="s">
        <v>4</v>
      </c>
      <c r="N148" s="59" t="s">
        <v>4</v>
      </c>
      <c r="O148" s="59" t="s">
        <v>4</v>
      </c>
      <c r="P148" s="59" t="s">
        <v>4</v>
      </c>
      <c r="Q148" s="96">
        <f t="shared" si="24"/>
        <v>1</v>
      </c>
      <c r="R148" s="59" t="s">
        <v>4</v>
      </c>
      <c r="S148" s="59" t="s">
        <v>4</v>
      </c>
      <c r="T148" s="59" t="s">
        <v>4</v>
      </c>
      <c r="U148" s="59" t="s">
        <v>4</v>
      </c>
      <c r="V148" s="45">
        <f t="shared" si="25"/>
        <v>1</v>
      </c>
      <c r="W148" s="59" t="s">
        <v>4</v>
      </c>
      <c r="X148" s="59" t="s">
        <v>4</v>
      </c>
      <c r="Y148" s="59" t="s">
        <v>4</v>
      </c>
      <c r="Z148" s="59" t="s">
        <v>4</v>
      </c>
      <c r="AA148" s="59" t="s">
        <v>4</v>
      </c>
      <c r="AB148" s="59" t="s">
        <v>4</v>
      </c>
      <c r="AC148" s="45">
        <f t="shared" si="26"/>
        <v>1.000000000000002</v>
      </c>
      <c r="AD148" s="43" t="s">
        <v>4</v>
      </c>
      <c r="AE148" s="43" t="s">
        <v>4</v>
      </c>
      <c r="AF148" s="97">
        <f t="shared" si="27"/>
        <v>1</v>
      </c>
      <c r="AG148" s="44">
        <f t="shared" si="28"/>
        <v>1.0000000000000004</v>
      </c>
      <c r="AH148" s="47">
        <f t="shared" si="29"/>
        <v>0</v>
      </c>
      <c r="AI148" s="47">
        <f>COUNTIF('Score BD'!$M148:$P148,"no")</f>
        <v>0</v>
      </c>
      <c r="AJ148" s="47">
        <f t="shared" si="30"/>
        <v>0</v>
      </c>
      <c r="AK148" s="47">
        <f t="shared" si="31"/>
        <v>0</v>
      </c>
      <c r="AL148" s="47">
        <f t="shared" si="32"/>
        <v>0</v>
      </c>
      <c r="AM148" s="157" t="s">
        <v>581</v>
      </c>
      <c r="AN148" s="46"/>
      <c r="AO148" s="43"/>
      <c r="AP148" s="43"/>
      <c r="AQ148" s="59" t="str">
        <f>IFERROR(_xlfn.XLOOKUP(Tabla1[[#This Row],[Cedula agente]],Lista!$B$2:$B$97,Lista!$G$2:$G$97)," ")</f>
        <v>Luisa Fernanda Benavides Castrillon</v>
      </c>
      <c r="AR148" s="59" t="s">
        <v>162</v>
      </c>
      <c r="AS148" s="47" t="str">
        <f>IFERROR(_xlfn.XLOOKUP(Tabla1[[#This Row],[Cedula agente]],Lista!$B$2:$B$97,Lista!$F$2:$F$97)," ")</f>
        <v>John Sebastian Roncancio Avendaño</v>
      </c>
      <c r="AT148" s="99">
        <v>0.95</v>
      </c>
      <c r="AU148" s="199">
        <f>+WEEKNUM('Score BD'!$H148)-WEEKNUM(DATE(YEAR('Score BD'!$H148),MONTH('Score BD'!$H148),1))+1</f>
        <v>3</v>
      </c>
    </row>
    <row r="149" spans="1:47" s="51" customFormat="1" ht="17.45" customHeight="1" x14ac:dyDescent="0.3">
      <c r="A149" s="49" t="str">
        <f t="shared" si="22"/>
        <v>Ministerio de Educación Nacional</v>
      </c>
      <c r="B149" s="50">
        <f>+IFERROR(COUNTIF($J$3:J149,J149)," ")</f>
        <v>18</v>
      </c>
      <c r="C149" s="54" t="str">
        <f>+'Score BD'!$J149&amp;'Score BD'!$B149</f>
        <v>Erika Natalia Ramírez Herrera18</v>
      </c>
      <c r="D149" s="91" t="s">
        <v>148</v>
      </c>
      <c r="E149" s="92" t="s">
        <v>164</v>
      </c>
      <c r="F149" s="92" t="s">
        <v>212</v>
      </c>
      <c r="G149" s="60" t="str">
        <f t="shared" si="23"/>
        <v>Noviembre</v>
      </c>
      <c r="H149" s="65">
        <v>45973</v>
      </c>
      <c r="I149" s="243">
        <v>45972</v>
      </c>
      <c r="J149" s="57" t="s">
        <v>174</v>
      </c>
      <c r="K149" s="52">
        <f>IFERROR(VLOOKUP('Score BD'!$J149,Lista!A:B,2,0)," ")</f>
        <v>1032367072</v>
      </c>
      <c r="L149" s="61" t="s">
        <v>398</v>
      </c>
      <c r="M149" s="59" t="s">
        <v>4</v>
      </c>
      <c r="N149" s="59" t="s">
        <v>4</v>
      </c>
      <c r="O149" s="59" t="s">
        <v>4</v>
      </c>
      <c r="P149" s="59" t="s">
        <v>4</v>
      </c>
      <c r="Q149" s="96">
        <f t="shared" si="24"/>
        <v>1</v>
      </c>
      <c r="R149" s="59" t="s">
        <v>4</v>
      </c>
      <c r="S149" s="59" t="s">
        <v>4</v>
      </c>
      <c r="T149" s="59" t="s">
        <v>4</v>
      </c>
      <c r="U149" s="59" t="s">
        <v>4</v>
      </c>
      <c r="V149" s="45">
        <f t="shared" si="25"/>
        <v>1</v>
      </c>
      <c r="W149" s="59" t="s">
        <v>4</v>
      </c>
      <c r="X149" s="59" t="s">
        <v>4</v>
      </c>
      <c r="Y149" s="59" t="s">
        <v>4</v>
      </c>
      <c r="Z149" s="59" t="s">
        <v>4</v>
      </c>
      <c r="AA149" s="59" t="s">
        <v>4</v>
      </c>
      <c r="AB149" s="59" t="s">
        <v>4</v>
      </c>
      <c r="AC149" s="45">
        <f t="shared" si="26"/>
        <v>1.000000000000002</v>
      </c>
      <c r="AD149" s="43" t="s">
        <v>4</v>
      </c>
      <c r="AE149" s="43" t="s">
        <v>4</v>
      </c>
      <c r="AF149" s="97">
        <f t="shared" si="27"/>
        <v>1</v>
      </c>
      <c r="AG149" s="44">
        <f t="shared" si="28"/>
        <v>1.0000000000000004</v>
      </c>
      <c r="AH149" s="47">
        <f t="shared" si="29"/>
        <v>0</v>
      </c>
      <c r="AI149" s="47">
        <f>COUNTIF('Score BD'!$M149:$P149,"no")</f>
        <v>0</v>
      </c>
      <c r="AJ149" s="47">
        <f t="shared" si="30"/>
        <v>0</v>
      </c>
      <c r="AK149" s="47">
        <f t="shared" si="31"/>
        <v>0</v>
      </c>
      <c r="AL149" s="47">
        <f t="shared" si="32"/>
        <v>0</v>
      </c>
      <c r="AM149" s="157" t="s">
        <v>581</v>
      </c>
      <c r="AN149" s="46"/>
      <c r="AO149" s="43"/>
      <c r="AP149" s="43"/>
      <c r="AQ149" s="59" t="str">
        <f>IFERROR(_xlfn.XLOOKUP(Tabla1[[#This Row],[Cedula agente]],Lista!$B$2:$B$97,Lista!$G$2:$G$97)," ")</f>
        <v>Luisa Fernanda Benavides Castrillon</v>
      </c>
      <c r="AR149" s="59" t="s">
        <v>162</v>
      </c>
      <c r="AS149" s="47" t="str">
        <f>IFERROR(_xlfn.XLOOKUP(Tabla1[[#This Row],[Cedula agente]],Lista!$B$2:$B$97,Lista!$F$2:$F$97)," ")</f>
        <v>John Sebastian Roncancio Avendaño</v>
      </c>
      <c r="AT149" s="99">
        <v>0.95</v>
      </c>
      <c r="AU149" s="199">
        <f>+WEEKNUM('Score BD'!$H149)-WEEKNUM(DATE(YEAR('Score BD'!$H149),MONTH('Score BD'!$H149),1))+1</f>
        <v>3</v>
      </c>
    </row>
    <row r="150" spans="1:47" s="51" customFormat="1" ht="17.45" customHeight="1" x14ac:dyDescent="0.3">
      <c r="A150" s="49" t="str">
        <f t="shared" si="22"/>
        <v>Ministerio de Educación Nacional</v>
      </c>
      <c r="B150" s="50">
        <f>+IFERROR(COUNTIF($J$3:J150,J150)," ")</f>
        <v>7</v>
      </c>
      <c r="C150" s="54" t="str">
        <f>+'Score BD'!$J150&amp;'Score BD'!$B150</f>
        <v>Henry Eduardo Padilla Castilla7</v>
      </c>
      <c r="D150" s="91" t="s">
        <v>148</v>
      </c>
      <c r="E150" s="92" t="s">
        <v>165</v>
      </c>
      <c r="F150" s="92" t="s">
        <v>212</v>
      </c>
      <c r="G150" s="60" t="str">
        <f t="shared" si="23"/>
        <v>Noviembre</v>
      </c>
      <c r="H150" s="65">
        <v>45973</v>
      </c>
      <c r="I150" s="243">
        <v>45972</v>
      </c>
      <c r="J150" s="57" t="s">
        <v>175</v>
      </c>
      <c r="K150" s="52">
        <f>IFERROR(VLOOKUP('Score BD'!$J150,Lista!A:B,2,0)," ")</f>
        <v>1063968280</v>
      </c>
      <c r="L150" s="61" t="s">
        <v>399</v>
      </c>
      <c r="M150" s="59" t="s">
        <v>4</v>
      </c>
      <c r="N150" s="59" t="s">
        <v>4</v>
      </c>
      <c r="O150" s="59" t="s">
        <v>4</v>
      </c>
      <c r="P150" s="59" t="s">
        <v>4</v>
      </c>
      <c r="Q150" s="96">
        <f t="shared" si="24"/>
        <v>1</v>
      </c>
      <c r="R150" s="59" t="s">
        <v>4</v>
      </c>
      <c r="S150" s="59" t="s">
        <v>4</v>
      </c>
      <c r="T150" s="59" t="s">
        <v>4</v>
      </c>
      <c r="U150" s="59" t="s">
        <v>4</v>
      </c>
      <c r="V150" s="45">
        <f t="shared" si="25"/>
        <v>1</v>
      </c>
      <c r="W150" s="59" t="s">
        <v>4</v>
      </c>
      <c r="X150" s="59" t="s">
        <v>4</v>
      </c>
      <c r="Y150" s="59" t="s">
        <v>4</v>
      </c>
      <c r="Z150" s="59" t="s">
        <v>4</v>
      </c>
      <c r="AA150" s="59" t="s">
        <v>4</v>
      </c>
      <c r="AB150" s="59" t="s">
        <v>4</v>
      </c>
      <c r="AC150" s="45">
        <f t="shared" si="26"/>
        <v>1.000000000000002</v>
      </c>
      <c r="AD150" s="43" t="s">
        <v>4</v>
      </c>
      <c r="AE150" s="43" t="s">
        <v>4</v>
      </c>
      <c r="AF150" s="97">
        <f t="shared" si="27"/>
        <v>1</v>
      </c>
      <c r="AG150" s="44">
        <f t="shared" si="28"/>
        <v>1.0000000000000004</v>
      </c>
      <c r="AH150" s="47">
        <f t="shared" si="29"/>
        <v>0</v>
      </c>
      <c r="AI150" s="47">
        <f>COUNTIF('Score BD'!$M150:$P150,"no")</f>
        <v>0</v>
      </c>
      <c r="AJ150" s="47">
        <f t="shared" si="30"/>
        <v>0</v>
      </c>
      <c r="AK150" s="47">
        <f t="shared" si="31"/>
        <v>0</v>
      </c>
      <c r="AL150" s="47">
        <f t="shared" si="32"/>
        <v>0</v>
      </c>
      <c r="AM150" s="157" t="s">
        <v>581</v>
      </c>
      <c r="AN150" s="47"/>
      <c r="AO150" s="48"/>
      <c r="AP150" s="48"/>
      <c r="AQ150" s="59" t="str">
        <f>IFERROR(_xlfn.XLOOKUP(Tabla1[[#This Row],[Cedula agente]],Lista!$B$2:$B$97,Lista!$G$2:$G$97)," ")</f>
        <v>Luisa Fernanda Benavides Castrillon</v>
      </c>
      <c r="AR150" s="59" t="s">
        <v>162</v>
      </c>
      <c r="AS150" s="47" t="str">
        <f>IFERROR(_xlfn.XLOOKUP(Tabla1[[#This Row],[Cedula agente]],Lista!$B$2:$B$97,Lista!$F$2:$F$97)," ")</f>
        <v>John Sebastian Roncancio Avendaño</v>
      </c>
      <c r="AT150" s="99">
        <v>0.95</v>
      </c>
      <c r="AU150" s="199">
        <f>+WEEKNUM('Score BD'!$H150)-WEEKNUM(DATE(YEAR('Score BD'!$H150),MONTH('Score BD'!$H150),1))+1</f>
        <v>3</v>
      </c>
    </row>
    <row r="151" spans="1:47" s="51" customFormat="1" ht="17.45" customHeight="1" x14ac:dyDescent="0.3">
      <c r="A151" s="49" t="str">
        <f t="shared" si="22"/>
        <v>Ministerio de Educación Nacional</v>
      </c>
      <c r="B151" s="50">
        <f>+IFERROR(COUNTIF($J$3:J151,J151)," ")</f>
        <v>11</v>
      </c>
      <c r="C151" s="54" t="str">
        <f>+'Score BD'!$J151&amp;'Score BD'!$B151</f>
        <v>Ingrid Carolina Monsalve Quintero11</v>
      </c>
      <c r="D151" s="91" t="s">
        <v>148</v>
      </c>
      <c r="E151" s="92" t="s">
        <v>164</v>
      </c>
      <c r="F151" s="92" t="s">
        <v>212</v>
      </c>
      <c r="G151" s="60" t="str">
        <f t="shared" si="23"/>
        <v>Noviembre</v>
      </c>
      <c r="H151" s="65">
        <v>45973</v>
      </c>
      <c r="I151" s="243">
        <v>45972</v>
      </c>
      <c r="J151" s="57" t="s">
        <v>176</v>
      </c>
      <c r="K151" s="52">
        <f>IFERROR(VLOOKUP('Score BD'!$J151,Lista!A:B,2,0)," ")</f>
        <v>52805909</v>
      </c>
      <c r="L151" s="61" t="s">
        <v>400</v>
      </c>
      <c r="M151" s="59" t="s">
        <v>4</v>
      </c>
      <c r="N151" s="59" t="s">
        <v>4</v>
      </c>
      <c r="O151" s="59" t="s">
        <v>4</v>
      </c>
      <c r="P151" s="59" t="s">
        <v>4</v>
      </c>
      <c r="Q151" s="96">
        <f t="shared" si="24"/>
        <v>1</v>
      </c>
      <c r="R151" s="59" t="s">
        <v>4</v>
      </c>
      <c r="S151" s="59" t="s">
        <v>4</v>
      </c>
      <c r="T151" s="59" t="s">
        <v>4</v>
      </c>
      <c r="U151" s="59" t="s">
        <v>4</v>
      </c>
      <c r="V151" s="45">
        <f t="shared" si="25"/>
        <v>1</v>
      </c>
      <c r="W151" s="59" t="s">
        <v>4</v>
      </c>
      <c r="X151" s="59" t="s">
        <v>4</v>
      </c>
      <c r="Y151" s="59" t="s">
        <v>4</v>
      </c>
      <c r="Z151" s="59" t="s">
        <v>4</v>
      </c>
      <c r="AA151" s="59" t="s">
        <v>4</v>
      </c>
      <c r="AB151" s="59" t="s">
        <v>4</v>
      </c>
      <c r="AC151" s="45">
        <f t="shared" si="26"/>
        <v>1.000000000000002</v>
      </c>
      <c r="AD151" s="43" t="s">
        <v>4</v>
      </c>
      <c r="AE151" s="43" t="s">
        <v>4</v>
      </c>
      <c r="AF151" s="97">
        <f t="shared" si="27"/>
        <v>1</v>
      </c>
      <c r="AG151" s="44">
        <f t="shared" si="28"/>
        <v>1.0000000000000004</v>
      </c>
      <c r="AH151" s="47">
        <f t="shared" si="29"/>
        <v>0</v>
      </c>
      <c r="AI151" s="47">
        <f>COUNTIF('Score BD'!$M151:$P151,"no")</f>
        <v>0</v>
      </c>
      <c r="AJ151" s="47">
        <f t="shared" si="30"/>
        <v>0</v>
      </c>
      <c r="AK151" s="47">
        <f t="shared" si="31"/>
        <v>0</v>
      </c>
      <c r="AL151" s="47">
        <f t="shared" si="32"/>
        <v>0</v>
      </c>
      <c r="AM151" s="157" t="s">
        <v>581</v>
      </c>
      <c r="AN151" s="46"/>
      <c r="AO151" s="43"/>
      <c r="AP151" s="43"/>
      <c r="AQ151" s="59" t="str">
        <f>IFERROR(_xlfn.XLOOKUP(Tabla1[[#This Row],[Cedula agente]],Lista!$B$2:$B$97,Lista!$G$2:$G$97)," ")</f>
        <v>Luisa Fernanda Benavides Castrillon</v>
      </c>
      <c r="AR151" s="59" t="s">
        <v>162</v>
      </c>
      <c r="AS151" s="47" t="str">
        <f>IFERROR(_xlfn.XLOOKUP(Tabla1[[#This Row],[Cedula agente]],Lista!$B$2:$B$97,Lista!$F$2:$F$97)," ")</f>
        <v>John Sebastian Roncancio Avendaño</v>
      </c>
      <c r="AT151" s="99">
        <v>0.95</v>
      </c>
      <c r="AU151" s="199">
        <f>+WEEKNUM('Score BD'!$H151)-WEEKNUM(DATE(YEAR('Score BD'!$H151),MONTH('Score BD'!$H151),1))+1</f>
        <v>3</v>
      </c>
    </row>
    <row r="152" spans="1:47" s="51" customFormat="1" ht="17.45" customHeight="1" x14ac:dyDescent="0.3">
      <c r="A152" s="49" t="str">
        <f t="shared" si="22"/>
        <v>Ministerio de Educación Nacional</v>
      </c>
      <c r="B152" s="50">
        <f>+IFERROR(COUNTIF($J$3:J152,J152)," ")</f>
        <v>12</v>
      </c>
      <c r="C152" s="54" t="str">
        <f>+'Score BD'!$J152&amp;'Score BD'!$B152</f>
        <v>Ingrid Carolina Monsalve Quintero12</v>
      </c>
      <c r="D152" s="91" t="s">
        <v>148</v>
      </c>
      <c r="E152" s="92" t="s">
        <v>164</v>
      </c>
      <c r="F152" s="92" t="s">
        <v>212</v>
      </c>
      <c r="G152" s="60" t="str">
        <f t="shared" si="23"/>
        <v>Noviembre</v>
      </c>
      <c r="H152" s="65">
        <v>45973</v>
      </c>
      <c r="I152" s="243">
        <v>45972</v>
      </c>
      <c r="J152" s="57" t="s">
        <v>176</v>
      </c>
      <c r="K152" s="52">
        <f>IFERROR(VLOOKUP('Score BD'!$J152,Lista!A:B,2,0)," ")</f>
        <v>52805909</v>
      </c>
      <c r="L152" s="61" t="s">
        <v>401</v>
      </c>
      <c r="M152" s="59" t="s">
        <v>4</v>
      </c>
      <c r="N152" s="59" t="s">
        <v>4</v>
      </c>
      <c r="O152" s="59" t="s">
        <v>4</v>
      </c>
      <c r="P152" s="59" t="s">
        <v>4</v>
      </c>
      <c r="Q152" s="96">
        <f t="shared" si="24"/>
        <v>1</v>
      </c>
      <c r="R152" s="59" t="s">
        <v>4</v>
      </c>
      <c r="S152" s="59" t="s">
        <v>4</v>
      </c>
      <c r="T152" s="59" t="s">
        <v>4</v>
      </c>
      <c r="U152" s="59" t="s">
        <v>4</v>
      </c>
      <c r="V152" s="45">
        <f t="shared" si="25"/>
        <v>1</v>
      </c>
      <c r="W152" s="59" t="s">
        <v>4</v>
      </c>
      <c r="X152" s="59" t="s">
        <v>4</v>
      </c>
      <c r="Y152" s="59" t="s">
        <v>4</v>
      </c>
      <c r="Z152" s="59" t="s">
        <v>4</v>
      </c>
      <c r="AA152" s="59" t="s">
        <v>4</v>
      </c>
      <c r="AB152" s="59" t="s">
        <v>4</v>
      </c>
      <c r="AC152" s="45">
        <f t="shared" si="26"/>
        <v>1.000000000000002</v>
      </c>
      <c r="AD152" s="43" t="s">
        <v>4</v>
      </c>
      <c r="AE152" s="43" t="s">
        <v>4</v>
      </c>
      <c r="AF152" s="97">
        <f t="shared" si="27"/>
        <v>1</v>
      </c>
      <c r="AG152" s="44">
        <f t="shared" si="28"/>
        <v>1.0000000000000004</v>
      </c>
      <c r="AH152" s="47">
        <f t="shared" si="29"/>
        <v>0</v>
      </c>
      <c r="AI152" s="47">
        <f>COUNTIF('Score BD'!$M152:$P152,"no")</f>
        <v>0</v>
      </c>
      <c r="AJ152" s="47">
        <f t="shared" si="30"/>
        <v>0</v>
      </c>
      <c r="AK152" s="47">
        <f t="shared" si="31"/>
        <v>0</v>
      </c>
      <c r="AL152" s="47">
        <f t="shared" si="32"/>
        <v>0</v>
      </c>
      <c r="AM152" s="157" t="s">
        <v>581</v>
      </c>
      <c r="AN152" s="46"/>
      <c r="AO152" s="43"/>
      <c r="AP152" s="43"/>
      <c r="AQ152" s="59" t="str">
        <f>IFERROR(_xlfn.XLOOKUP(Tabla1[[#This Row],[Cedula agente]],Lista!$B$2:$B$97,Lista!$G$2:$G$97)," ")</f>
        <v>Luisa Fernanda Benavides Castrillon</v>
      </c>
      <c r="AR152" s="59" t="s">
        <v>162</v>
      </c>
      <c r="AS152" s="47" t="str">
        <f>IFERROR(_xlfn.XLOOKUP(Tabla1[[#This Row],[Cedula agente]],Lista!$B$2:$B$97,Lista!$F$2:$F$97)," ")</f>
        <v>John Sebastian Roncancio Avendaño</v>
      </c>
      <c r="AT152" s="99">
        <v>0.95</v>
      </c>
      <c r="AU152" s="199">
        <f>+WEEKNUM('Score BD'!$H152)-WEEKNUM(DATE(YEAR('Score BD'!$H152),MONTH('Score BD'!$H152),1))+1</f>
        <v>3</v>
      </c>
    </row>
    <row r="153" spans="1:47" s="51" customFormat="1" ht="17.45" customHeight="1" x14ac:dyDescent="0.3">
      <c r="A153" s="49" t="str">
        <f t="shared" si="22"/>
        <v>Ministerio de Educación Nacional</v>
      </c>
      <c r="B153" s="50">
        <f>+IFERROR(COUNTIF($J$3:J153,J153)," ")</f>
        <v>5</v>
      </c>
      <c r="C153" s="54" t="str">
        <f>+'Score BD'!$J153&amp;'Score BD'!$B153</f>
        <v>Jesus David Hernandez Fernandez de Castro5</v>
      </c>
      <c r="D153" s="91" t="s">
        <v>148</v>
      </c>
      <c r="E153" s="92" t="s">
        <v>208</v>
      </c>
      <c r="F153" s="92" t="s">
        <v>212</v>
      </c>
      <c r="G153" s="60" t="str">
        <f t="shared" si="23"/>
        <v>Noviembre</v>
      </c>
      <c r="H153" s="65">
        <v>45973</v>
      </c>
      <c r="I153" s="243">
        <v>45972</v>
      </c>
      <c r="J153" s="57" t="s">
        <v>177</v>
      </c>
      <c r="K153" s="52">
        <f>IFERROR(VLOOKUP('Score BD'!$J153,Lista!A:B,2,0)," ")</f>
        <v>1083038013</v>
      </c>
      <c r="L153" s="61" t="s">
        <v>402</v>
      </c>
      <c r="M153" s="59" t="s">
        <v>4</v>
      </c>
      <c r="N153" s="59" t="s">
        <v>4</v>
      </c>
      <c r="O153" s="59" t="s">
        <v>4</v>
      </c>
      <c r="P153" s="59" t="s">
        <v>4</v>
      </c>
      <c r="Q153" s="96">
        <f t="shared" si="24"/>
        <v>1</v>
      </c>
      <c r="R153" s="59" t="s">
        <v>4</v>
      </c>
      <c r="S153" s="59" t="s">
        <v>4</v>
      </c>
      <c r="T153" s="59" t="s">
        <v>4</v>
      </c>
      <c r="U153" s="59" t="s">
        <v>4</v>
      </c>
      <c r="V153" s="45">
        <f t="shared" si="25"/>
        <v>1</v>
      </c>
      <c r="W153" s="59" t="s">
        <v>4</v>
      </c>
      <c r="X153" s="59" t="s">
        <v>4</v>
      </c>
      <c r="Y153" s="59" t="s">
        <v>4</v>
      </c>
      <c r="Z153" s="59" t="s">
        <v>4</v>
      </c>
      <c r="AA153" s="59" t="s">
        <v>4</v>
      </c>
      <c r="AB153" s="59" t="s">
        <v>4</v>
      </c>
      <c r="AC153" s="45">
        <f t="shared" si="26"/>
        <v>1.000000000000002</v>
      </c>
      <c r="AD153" s="43" t="s">
        <v>4</v>
      </c>
      <c r="AE153" s="43" t="s">
        <v>4</v>
      </c>
      <c r="AF153" s="97">
        <f t="shared" si="27"/>
        <v>1</v>
      </c>
      <c r="AG153" s="44">
        <f t="shared" si="28"/>
        <v>1.0000000000000004</v>
      </c>
      <c r="AH153" s="47">
        <f t="shared" si="29"/>
        <v>0</v>
      </c>
      <c r="AI153" s="47">
        <f>COUNTIF('Score BD'!$M153:$P153,"no")</f>
        <v>0</v>
      </c>
      <c r="AJ153" s="47">
        <f t="shared" si="30"/>
        <v>0</v>
      </c>
      <c r="AK153" s="47">
        <f t="shared" si="31"/>
        <v>0</v>
      </c>
      <c r="AL153" s="47">
        <f t="shared" si="32"/>
        <v>0</v>
      </c>
      <c r="AM153" s="157" t="s">
        <v>581</v>
      </c>
      <c r="AN153" s="46"/>
      <c r="AO153" s="43"/>
      <c r="AP153" s="43"/>
      <c r="AQ153" s="59" t="str">
        <f>IFERROR(_xlfn.XLOOKUP(Tabla1[[#This Row],[Cedula agente]],Lista!$B$2:$B$97,Lista!$G$2:$G$97)," ")</f>
        <v>Luisa Fernanda Benavides Castrillon</v>
      </c>
      <c r="AR153" s="59" t="s">
        <v>162</v>
      </c>
      <c r="AS153" s="47" t="str">
        <f>IFERROR(_xlfn.XLOOKUP(Tabla1[[#This Row],[Cedula agente]],Lista!$B$2:$B$97,Lista!$F$2:$F$97)," ")</f>
        <v>John Sebastian Roncancio Avendaño</v>
      </c>
      <c r="AT153" s="99">
        <v>0.95</v>
      </c>
      <c r="AU153" s="199">
        <f>+WEEKNUM('Score BD'!$H153)-WEEKNUM(DATE(YEAR('Score BD'!$H153),MONTH('Score BD'!$H153),1))+1</f>
        <v>3</v>
      </c>
    </row>
    <row r="154" spans="1:47" s="51" customFormat="1" ht="17.45" customHeight="1" x14ac:dyDescent="0.3">
      <c r="A154" s="49" t="str">
        <f t="shared" si="22"/>
        <v>Ministerio de Educación Nacional</v>
      </c>
      <c r="B154" s="50">
        <f>+IFERROR(COUNTIF($J$3:J154,J154)," ")</f>
        <v>10</v>
      </c>
      <c r="C154" s="54" t="str">
        <f>+'Score BD'!$J154&amp;'Score BD'!$B154</f>
        <v>Juan Jose Santoya Medina10</v>
      </c>
      <c r="D154" s="91" t="s">
        <v>148</v>
      </c>
      <c r="E154" s="92" t="s">
        <v>165</v>
      </c>
      <c r="F154" s="92" t="s">
        <v>212</v>
      </c>
      <c r="G154" s="60" t="str">
        <f t="shared" si="23"/>
        <v>Noviembre</v>
      </c>
      <c r="H154" s="65">
        <v>45973</v>
      </c>
      <c r="I154" s="243">
        <v>45972</v>
      </c>
      <c r="J154" s="57" t="s">
        <v>178</v>
      </c>
      <c r="K154" s="52">
        <f>IFERROR(VLOOKUP('Score BD'!$J154,Lista!A:B,2,0)," ")</f>
        <v>1053345183</v>
      </c>
      <c r="L154" s="61" t="s">
        <v>403</v>
      </c>
      <c r="M154" s="59" t="s">
        <v>4</v>
      </c>
      <c r="N154" s="59" t="s">
        <v>4</v>
      </c>
      <c r="O154" s="59" t="s">
        <v>4</v>
      </c>
      <c r="P154" s="59" t="s">
        <v>4</v>
      </c>
      <c r="Q154" s="96">
        <f t="shared" si="24"/>
        <v>1</v>
      </c>
      <c r="R154" s="59" t="s">
        <v>4</v>
      </c>
      <c r="S154" s="59" t="s">
        <v>4</v>
      </c>
      <c r="T154" s="59" t="s">
        <v>4</v>
      </c>
      <c r="U154" s="59" t="s">
        <v>4</v>
      </c>
      <c r="V154" s="45">
        <f t="shared" si="25"/>
        <v>1</v>
      </c>
      <c r="W154" s="59" t="s">
        <v>4</v>
      </c>
      <c r="X154" s="59" t="s">
        <v>4</v>
      </c>
      <c r="Y154" s="59" t="s">
        <v>4</v>
      </c>
      <c r="Z154" s="59" t="s">
        <v>4</v>
      </c>
      <c r="AA154" s="59" t="s">
        <v>4</v>
      </c>
      <c r="AB154" s="59" t="s">
        <v>4</v>
      </c>
      <c r="AC154" s="45">
        <f t="shared" si="26"/>
        <v>1.000000000000002</v>
      </c>
      <c r="AD154" s="43" t="s">
        <v>4</v>
      </c>
      <c r="AE154" s="43" t="s">
        <v>4</v>
      </c>
      <c r="AF154" s="97">
        <f t="shared" si="27"/>
        <v>1</v>
      </c>
      <c r="AG154" s="44">
        <f t="shared" si="28"/>
        <v>1.0000000000000004</v>
      </c>
      <c r="AH154" s="47">
        <f t="shared" si="29"/>
        <v>0</v>
      </c>
      <c r="AI154" s="47">
        <f>COUNTIF('Score BD'!$M154:$P154,"no")</f>
        <v>0</v>
      </c>
      <c r="AJ154" s="47">
        <f t="shared" si="30"/>
        <v>0</v>
      </c>
      <c r="AK154" s="47">
        <f t="shared" si="31"/>
        <v>0</v>
      </c>
      <c r="AL154" s="47">
        <f t="shared" si="32"/>
        <v>0</v>
      </c>
      <c r="AM154" s="157" t="s">
        <v>581</v>
      </c>
      <c r="AN154" s="46"/>
      <c r="AO154" s="43"/>
      <c r="AP154" s="43"/>
      <c r="AQ154" s="59" t="str">
        <f>IFERROR(_xlfn.XLOOKUP(Tabla1[[#This Row],[Cedula agente]],Lista!$B$2:$B$97,Lista!$G$2:$G$97)," ")</f>
        <v>Luisa Fernanda Benavides Castrillon</v>
      </c>
      <c r="AR154" s="59" t="s">
        <v>162</v>
      </c>
      <c r="AS154" s="47" t="str">
        <f>IFERROR(_xlfn.XLOOKUP(Tabla1[[#This Row],[Cedula agente]],Lista!$B$2:$B$97,Lista!$F$2:$F$97)," ")</f>
        <v>John Sebastian Roncancio Avendaño</v>
      </c>
      <c r="AT154" s="99">
        <v>0.95</v>
      </c>
      <c r="AU154" s="199">
        <f>+WEEKNUM('Score BD'!$H154)-WEEKNUM(DATE(YEAR('Score BD'!$H154),MONTH('Score BD'!$H154),1))+1</f>
        <v>3</v>
      </c>
    </row>
    <row r="155" spans="1:47" s="51" customFormat="1" ht="17.45" customHeight="1" x14ac:dyDescent="0.3">
      <c r="A155" s="49" t="str">
        <f t="shared" si="22"/>
        <v>Ministerio de Educación Nacional</v>
      </c>
      <c r="B155" s="50">
        <f>+IFERROR(COUNTIF($J$3:J155,J155)," ")</f>
        <v>11</v>
      </c>
      <c r="C155" s="54" t="str">
        <f>+'Score BD'!$J155&amp;'Score BD'!$B155</f>
        <v>Juan Jose Santoya Medina11</v>
      </c>
      <c r="D155" s="91" t="s">
        <v>148</v>
      </c>
      <c r="E155" s="92" t="s">
        <v>165</v>
      </c>
      <c r="F155" s="92" t="s">
        <v>212</v>
      </c>
      <c r="G155" s="60" t="str">
        <f t="shared" si="23"/>
        <v>Noviembre</v>
      </c>
      <c r="H155" s="65">
        <v>45973</v>
      </c>
      <c r="I155" s="243">
        <v>45972</v>
      </c>
      <c r="J155" s="57" t="s">
        <v>178</v>
      </c>
      <c r="K155" s="52">
        <f>IFERROR(VLOOKUP('Score BD'!$J155,Lista!A:B,2,0)," ")</f>
        <v>1053345183</v>
      </c>
      <c r="L155" s="61" t="s">
        <v>404</v>
      </c>
      <c r="M155" s="59" t="s">
        <v>4</v>
      </c>
      <c r="N155" s="59" t="s">
        <v>4</v>
      </c>
      <c r="O155" s="59" t="s">
        <v>4</v>
      </c>
      <c r="P155" s="59" t="s">
        <v>4</v>
      </c>
      <c r="Q155" s="96">
        <f t="shared" si="24"/>
        <v>1</v>
      </c>
      <c r="R155" s="59" t="s">
        <v>4</v>
      </c>
      <c r="S155" s="59" t="s">
        <v>4</v>
      </c>
      <c r="T155" s="59" t="s">
        <v>4</v>
      </c>
      <c r="U155" s="59" t="s">
        <v>4</v>
      </c>
      <c r="V155" s="45">
        <f t="shared" si="25"/>
        <v>1</v>
      </c>
      <c r="W155" s="59" t="s">
        <v>4</v>
      </c>
      <c r="X155" s="59" t="s">
        <v>4</v>
      </c>
      <c r="Y155" s="59" t="s">
        <v>4</v>
      </c>
      <c r="Z155" s="59" t="s">
        <v>4</v>
      </c>
      <c r="AA155" s="59" t="s">
        <v>4</v>
      </c>
      <c r="AB155" s="59" t="s">
        <v>4</v>
      </c>
      <c r="AC155" s="45">
        <f t="shared" si="26"/>
        <v>1.000000000000002</v>
      </c>
      <c r="AD155" s="43" t="s">
        <v>4</v>
      </c>
      <c r="AE155" s="43" t="s">
        <v>4</v>
      </c>
      <c r="AF155" s="97">
        <f t="shared" si="27"/>
        <v>1</v>
      </c>
      <c r="AG155" s="44">
        <f t="shared" si="28"/>
        <v>1.0000000000000004</v>
      </c>
      <c r="AH155" s="47">
        <f t="shared" si="29"/>
        <v>0</v>
      </c>
      <c r="AI155" s="47">
        <f>COUNTIF('Score BD'!$M155:$P155,"no")</f>
        <v>0</v>
      </c>
      <c r="AJ155" s="47">
        <f t="shared" si="30"/>
        <v>0</v>
      </c>
      <c r="AK155" s="47">
        <f t="shared" si="31"/>
        <v>0</v>
      </c>
      <c r="AL155" s="47">
        <f t="shared" si="32"/>
        <v>0</v>
      </c>
      <c r="AM155" s="157" t="s">
        <v>581</v>
      </c>
      <c r="AN155" s="46"/>
      <c r="AO155" s="43"/>
      <c r="AP155" s="43"/>
      <c r="AQ155" s="59" t="str">
        <f>IFERROR(_xlfn.XLOOKUP(Tabla1[[#This Row],[Cedula agente]],Lista!$B$2:$B$97,Lista!$G$2:$G$97)," ")</f>
        <v>Luisa Fernanda Benavides Castrillon</v>
      </c>
      <c r="AR155" s="59" t="s">
        <v>162</v>
      </c>
      <c r="AS155" s="47" t="str">
        <f>IFERROR(_xlfn.XLOOKUP(Tabla1[[#This Row],[Cedula agente]],Lista!$B$2:$B$97,Lista!$F$2:$F$97)," ")</f>
        <v>John Sebastian Roncancio Avendaño</v>
      </c>
      <c r="AT155" s="99">
        <v>0.95</v>
      </c>
      <c r="AU155" s="199">
        <f>+WEEKNUM('Score BD'!$H155)-WEEKNUM(DATE(YEAR('Score BD'!$H155),MONTH('Score BD'!$H155),1))+1</f>
        <v>3</v>
      </c>
    </row>
    <row r="156" spans="1:47" s="51" customFormat="1" ht="17.45" customHeight="1" x14ac:dyDescent="0.3">
      <c r="A156" s="49" t="str">
        <f t="shared" si="22"/>
        <v>Ministerio de Educación Nacional</v>
      </c>
      <c r="B156" s="50">
        <f>+IFERROR(COUNTIF($J$3:J156,J156)," ")</f>
        <v>8</v>
      </c>
      <c r="C156" s="54" t="str">
        <f>+'Score BD'!$J156&amp;'Score BD'!$B156</f>
        <v>Juan Sebastián Suárez Morales8</v>
      </c>
      <c r="D156" s="91" t="s">
        <v>148</v>
      </c>
      <c r="E156" s="92" t="s">
        <v>165</v>
      </c>
      <c r="F156" s="92" t="s">
        <v>212</v>
      </c>
      <c r="G156" s="60" t="str">
        <f t="shared" si="23"/>
        <v>Noviembre</v>
      </c>
      <c r="H156" s="65">
        <v>45973</v>
      </c>
      <c r="I156" s="243">
        <v>45972</v>
      </c>
      <c r="J156" s="57" t="s">
        <v>179</v>
      </c>
      <c r="K156" s="52">
        <f>IFERROR(VLOOKUP('Score BD'!$J156,Lista!A:B,2,0)," ")</f>
        <v>1030541070</v>
      </c>
      <c r="L156" s="61" t="s">
        <v>405</v>
      </c>
      <c r="M156" s="59" t="s">
        <v>4</v>
      </c>
      <c r="N156" s="59" t="s">
        <v>4</v>
      </c>
      <c r="O156" s="59" t="s">
        <v>4</v>
      </c>
      <c r="P156" s="59" t="s">
        <v>4</v>
      </c>
      <c r="Q156" s="96">
        <f t="shared" si="24"/>
        <v>1</v>
      </c>
      <c r="R156" s="59" t="s">
        <v>4</v>
      </c>
      <c r="S156" s="59" t="s">
        <v>4</v>
      </c>
      <c r="T156" s="59" t="s">
        <v>4</v>
      </c>
      <c r="U156" s="59" t="s">
        <v>4</v>
      </c>
      <c r="V156" s="45">
        <f t="shared" si="25"/>
        <v>1</v>
      </c>
      <c r="W156" s="59" t="s">
        <v>4</v>
      </c>
      <c r="X156" s="59" t="s">
        <v>4</v>
      </c>
      <c r="Y156" s="59" t="s">
        <v>4</v>
      </c>
      <c r="Z156" s="59" t="s">
        <v>4</v>
      </c>
      <c r="AA156" s="59" t="s">
        <v>4</v>
      </c>
      <c r="AB156" s="59" t="s">
        <v>4</v>
      </c>
      <c r="AC156" s="45">
        <f t="shared" si="26"/>
        <v>1.000000000000002</v>
      </c>
      <c r="AD156" s="43" t="s">
        <v>4</v>
      </c>
      <c r="AE156" s="43" t="s">
        <v>4</v>
      </c>
      <c r="AF156" s="97">
        <f t="shared" si="27"/>
        <v>1</v>
      </c>
      <c r="AG156" s="44">
        <f t="shared" si="28"/>
        <v>1.0000000000000004</v>
      </c>
      <c r="AH156" s="47">
        <f t="shared" si="29"/>
        <v>0</v>
      </c>
      <c r="AI156" s="47">
        <f>COUNTIF('Score BD'!$M156:$P156,"no")</f>
        <v>0</v>
      </c>
      <c r="AJ156" s="47">
        <f t="shared" si="30"/>
        <v>0</v>
      </c>
      <c r="AK156" s="47">
        <f t="shared" si="31"/>
        <v>0</v>
      </c>
      <c r="AL156" s="47">
        <f t="shared" si="32"/>
        <v>0</v>
      </c>
      <c r="AM156" s="157" t="s">
        <v>581</v>
      </c>
      <c r="AN156" s="46"/>
      <c r="AO156" s="43"/>
      <c r="AP156" s="43"/>
      <c r="AQ156" s="59" t="str">
        <f>IFERROR(_xlfn.XLOOKUP(Tabla1[[#This Row],[Cedula agente]],Lista!$B$2:$B$97,Lista!$G$2:$G$97)," ")</f>
        <v>Luisa Fernanda Benavides Castrillon</v>
      </c>
      <c r="AR156" s="59" t="s">
        <v>162</v>
      </c>
      <c r="AS156" s="47" t="str">
        <f>IFERROR(_xlfn.XLOOKUP(Tabla1[[#This Row],[Cedula agente]],Lista!$B$2:$B$97,Lista!$F$2:$F$97)," ")</f>
        <v>John Sebastian Roncancio Avendaño</v>
      </c>
      <c r="AT156" s="99">
        <v>0.95</v>
      </c>
      <c r="AU156" s="199">
        <f>+WEEKNUM('Score BD'!$H156)-WEEKNUM(DATE(YEAR('Score BD'!$H156),MONTH('Score BD'!$H156),1))+1</f>
        <v>3</v>
      </c>
    </row>
    <row r="157" spans="1:47" s="51" customFormat="1" ht="17.45" customHeight="1" x14ac:dyDescent="0.3">
      <c r="A157" s="49" t="str">
        <f t="shared" si="22"/>
        <v>Ministerio de Educación Nacional</v>
      </c>
      <c r="B157" s="50">
        <f>+IFERROR(COUNTIF($J$3:J157,J157)," ")</f>
        <v>6</v>
      </c>
      <c r="C157" s="54" t="str">
        <f>+'Score BD'!$J157&amp;'Score BD'!$B157</f>
        <v>Laura Juliana Rueda Durán6</v>
      </c>
      <c r="D157" s="91" t="s">
        <v>148</v>
      </c>
      <c r="E157" s="92" t="s">
        <v>165</v>
      </c>
      <c r="F157" s="92" t="s">
        <v>212</v>
      </c>
      <c r="G157" s="60" t="str">
        <f t="shared" si="23"/>
        <v>Noviembre</v>
      </c>
      <c r="H157" s="65">
        <v>45973</v>
      </c>
      <c r="I157" s="243">
        <v>45972</v>
      </c>
      <c r="J157" s="57" t="s">
        <v>180</v>
      </c>
      <c r="K157" s="52">
        <f>IFERROR(VLOOKUP('Score BD'!$J157,Lista!A:B,2,0)," ")</f>
        <v>1026291591</v>
      </c>
      <c r="L157" s="61" t="s">
        <v>406</v>
      </c>
      <c r="M157" s="59" t="s">
        <v>4</v>
      </c>
      <c r="N157" s="59" t="s">
        <v>4</v>
      </c>
      <c r="O157" s="59" t="s">
        <v>4</v>
      </c>
      <c r="P157" s="59" t="s">
        <v>4</v>
      </c>
      <c r="Q157" s="96">
        <f t="shared" si="24"/>
        <v>1</v>
      </c>
      <c r="R157" s="59" t="s">
        <v>4</v>
      </c>
      <c r="S157" s="59" t="s">
        <v>4</v>
      </c>
      <c r="T157" s="59" t="s">
        <v>4</v>
      </c>
      <c r="U157" s="59" t="s">
        <v>4</v>
      </c>
      <c r="V157" s="45">
        <f t="shared" si="25"/>
        <v>1</v>
      </c>
      <c r="W157" s="59" t="s">
        <v>4</v>
      </c>
      <c r="X157" s="59" t="s">
        <v>4</v>
      </c>
      <c r="Y157" s="59" t="s">
        <v>4</v>
      </c>
      <c r="Z157" s="59" t="s">
        <v>4</v>
      </c>
      <c r="AA157" s="59" t="s">
        <v>4</v>
      </c>
      <c r="AB157" s="59" t="s">
        <v>4</v>
      </c>
      <c r="AC157" s="45">
        <f t="shared" si="26"/>
        <v>1.000000000000002</v>
      </c>
      <c r="AD157" s="43" t="s">
        <v>4</v>
      </c>
      <c r="AE157" s="43" t="s">
        <v>4</v>
      </c>
      <c r="AF157" s="97">
        <f t="shared" si="27"/>
        <v>1</v>
      </c>
      <c r="AG157" s="44">
        <f t="shared" si="28"/>
        <v>1.0000000000000004</v>
      </c>
      <c r="AH157" s="47">
        <f t="shared" si="29"/>
        <v>0</v>
      </c>
      <c r="AI157" s="47">
        <f>COUNTIF('Score BD'!$M157:$P157,"no")</f>
        <v>0</v>
      </c>
      <c r="AJ157" s="47">
        <f t="shared" si="30"/>
        <v>0</v>
      </c>
      <c r="AK157" s="47">
        <f t="shared" si="31"/>
        <v>0</v>
      </c>
      <c r="AL157" s="47">
        <f t="shared" si="32"/>
        <v>0</v>
      </c>
      <c r="AM157" s="157" t="s">
        <v>581</v>
      </c>
      <c r="AN157" s="47"/>
      <c r="AO157" s="48"/>
      <c r="AP157" s="48"/>
      <c r="AQ157" s="59" t="str">
        <f>IFERROR(_xlfn.XLOOKUP(Tabla1[[#This Row],[Cedula agente]],Lista!$B$2:$B$97,Lista!$G$2:$G$97)," ")</f>
        <v>Luisa Fernanda Benavides Castrillon</v>
      </c>
      <c r="AR157" s="59" t="s">
        <v>162</v>
      </c>
      <c r="AS157" s="47" t="str">
        <f>IFERROR(_xlfn.XLOOKUP(Tabla1[[#This Row],[Cedula agente]],Lista!$B$2:$B$97,Lista!$F$2:$F$97)," ")</f>
        <v>John Sebastian Roncancio Avendaño</v>
      </c>
      <c r="AT157" s="99">
        <v>0.95</v>
      </c>
      <c r="AU157" s="199">
        <f>+WEEKNUM('Score BD'!$H157)-WEEKNUM(DATE(YEAR('Score BD'!$H157),MONTH('Score BD'!$H157),1))+1</f>
        <v>3</v>
      </c>
    </row>
    <row r="158" spans="1:47" s="51" customFormat="1" ht="17.45" customHeight="1" x14ac:dyDescent="0.3">
      <c r="A158" s="49" t="str">
        <f t="shared" si="22"/>
        <v>Ministerio de Educación Nacional</v>
      </c>
      <c r="B158" s="50">
        <f>+IFERROR(COUNTIF($J$3:J158,J158)," ")</f>
        <v>6</v>
      </c>
      <c r="C158" s="54" t="str">
        <f>+'Score BD'!$J158&amp;'Score BD'!$B158</f>
        <v>Laura Ximena Sandoval Galindo6</v>
      </c>
      <c r="D158" s="91" t="s">
        <v>148</v>
      </c>
      <c r="E158" s="92" t="s">
        <v>208</v>
      </c>
      <c r="F158" s="92" t="s">
        <v>105</v>
      </c>
      <c r="G158" s="60" t="str">
        <f t="shared" si="23"/>
        <v>Noviembre</v>
      </c>
      <c r="H158" s="65">
        <v>45973</v>
      </c>
      <c r="I158" s="243">
        <v>45972</v>
      </c>
      <c r="J158" s="57" t="s">
        <v>201</v>
      </c>
      <c r="K158" s="52">
        <f>IFERROR(VLOOKUP('Score BD'!$J158,Lista!A:B,2,0)," ")</f>
        <v>1030678660</v>
      </c>
      <c r="L158" s="61" t="s">
        <v>407</v>
      </c>
      <c r="M158" s="59" t="s">
        <v>4</v>
      </c>
      <c r="N158" s="59" t="s">
        <v>4</v>
      </c>
      <c r="O158" s="59" t="s">
        <v>4</v>
      </c>
      <c r="P158" s="59" t="s">
        <v>4</v>
      </c>
      <c r="Q158" s="96">
        <f t="shared" si="24"/>
        <v>1</v>
      </c>
      <c r="R158" s="59" t="s">
        <v>4</v>
      </c>
      <c r="S158" s="59" t="s">
        <v>4</v>
      </c>
      <c r="T158" s="59" t="s">
        <v>4</v>
      </c>
      <c r="U158" s="59" t="s">
        <v>4</v>
      </c>
      <c r="V158" s="45">
        <f t="shared" si="25"/>
        <v>1</v>
      </c>
      <c r="W158" s="59" t="s">
        <v>4</v>
      </c>
      <c r="X158" s="59" t="s">
        <v>4</v>
      </c>
      <c r="Y158" s="59" t="s">
        <v>4</v>
      </c>
      <c r="Z158" s="59" t="s">
        <v>4</v>
      </c>
      <c r="AA158" s="59" t="s">
        <v>4</v>
      </c>
      <c r="AB158" s="59" t="s">
        <v>4</v>
      </c>
      <c r="AC158" s="45">
        <f t="shared" si="26"/>
        <v>1.000000000000002</v>
      </c>
      <c r="AD158" s="43" t="s">
        <v>4</v>
      </c>
      <c r="AE158" s="43" t="s">
        <v>4</v>
      </c>
      <c r="AF158" s="97">
        <f t="shared" si="27"/>
        <v>1</v>
      </c>
      <c r="AG158" s="44">
        <f t="shared" si="28"/>
        <v>1.0000000000000004</v>
      </c>
      <c r="AH158" s="47">
        <f t="shared" si="29"/>
        <v>0</v>
      </c>
      <c r="AI158" s="47">
        <f>COUNTIF('Score BD'!$M158:$P158,"no")</f>
        <v>0</v>
      </c>
      <c r="AJ158" s="47">
        <f t="shared" si="30"/>
        <v>0</v>
      </c>
      <c r="AK158" s="47">
        <f t="shared" si="31"/>
        <v>0</v>
      </c>
      <c r="AL158" s="47">
        <f t="shared" si="32"/>
        <v>0</v>
      </c>
      <c r="AM158" s="157" t="s">
        <v>581</v>
      </c>
      <c r="AN158" s="47"/>
      <c r="AO158" s="48"/>
      <c r="AP158" s="48"/>
      <c r="AQ158" s="59" t="str">
        <f>IFERROR(_xlfn.XLOOKUP(Tabla1[[#This Row],[Cedula agente]],Lista!$B$2:$B$97,Lista!$G$2:$G$97)," ")</f>
        <v>Luisa Fernanda Benavides Castrillon</v>
      </c>
      <c r="AR158" s="59" t="s">
        <v>162</v>
      </c>
      <c r="AS158" s="47" t="str">
        <f>IFERROR(_xlfn.XLOOKUP(Tabla1[[#This Row],[Cedula agente]],Lista!$B$2:$B$97,Lista!$F$2:$F$97)," ")</f>
        <v>John Sebastian Roncancio Avendaño</v>
      </c>
      <c r="AT158" s="99">
        <v>0.95</v>
      </c>
      <c r="AU158" s="199">
        <f>+WEEKNUM('Score BD'!$H158)-WEEKNUM(DATE(YEAR('Score BD'!$H158),MONTH('Score BD'!$H158),1))+1</f>
        <v>3</v>
      </c>
    </row>
    <row r="159" spans="1:47" s="51" customFormat="1" ht="17.45" customHeight="1" x14ac:dyDescent="0.3">
      <c r="A159" s="49" t="str">
        <f t="shared" si="22"/>
        <v>Ministerio de Educación Nacional</v>
      </c>
      <c r="B159" s="50">
        <f>+IFERROR(COUNTIF($J$3:J159,J159)," ")</f>
        <v>11</v>
      </c>
      <c r="C159" s="54" t="str">
        <f>+'Score BD'!$J159&amp;'Score BD'!$B159</f>
        <v>Maira Alejandra Rodriguez Losada11</v>
      </c>
      <c r="D159" s="91" t="s">
        <v>148</v>
      </c>
      <c r="E159" s="92" t="s">
        <v>164</v>
      </c>
      <c r="F159" s="92" t="s">
        <v>212</v>
      </c>
      <c r="G159" s="60" t="str">
        <f t="shared" si="23"/>
        <v>Noviembre</v>
      </c>
      <c r="H159" s="65">
        <v>45973</v>
      </c>
      <c r="I159" s="243">
        <v>45972</v>
      </c>
      <c r="J159" s="57" t="s">
        <v>204</v>
      </c>
      <c r="K159" s="52">
        <f>IFERROR(VLOOKUP('Score BD'!$J159,Lista!A:B,2,0)," ")</f>
        <v>1075224344</v>
      </c>
      <c r="L159" s="61" t="s">
        <v>408</v>
      </c>
      <c r="M159" s="59" t="s">
        <v>4</v>
      </c>
      <c r="N159" s="59" t="s">
        <v>4</v>
      </c>
      <c r="O159" s="59" t="s">
        <v>4</v>
      </c>
      <c r="P159" s="59" t="s">
        <v>4</v>
      </c>
      <c r="Q159" s="96">
        <f t="shared" si="24"/>
        <v>1</v>
      </c>
      <c r="R159" s="59" t="s">
        <v>4</v>
      </c>
      <c r="S159" s="59" t="s">
        <v>4</v>
      </c>
      <c r="T159" s="59" t="s">
        <v>4</v>
      </c>
      <c r="U159" s="59" t="s">
        <v>4</v>
      </c>
      <c r="V159" s="45">
        <f t="shared" si="25"/>
        <v>1</v>
      </c>
      <c r="W159" s="59" t="s">
        <v>4</v>
      </c>
      <c r="X159" s="59" t="s">
        <v>4</v>
      </c>
      <c r="Y159" s="59" t="s">
        <v>4</v>
      </c>
      <c r="Z159" s="59" t="s">
        <v>4</v>
      </c>
      <c r="AA159" s="59" t="s">
        <v>4</v>
      </c>
      <c r="AB159" s="59" t="s">
        <v>4</v>
      </c>
      <c r="AC159" s="45">
        <f t="shared" si="26"/>
        <v>1.000000000000002</v>
      </c>
      <c r="AD159" s="43" t="s">
        <v>4</v>
      </c>
      <c r="AE159" s="43" t="s">
        <v>4</v>
      </c>
      <c r="AF159" s="97">
        <f t="shared" si="27"/>
        <v>1</v>
      </c>
      <c r="AG159" s="44">
        <f t="shared" si="28"/>
        <v>1.0000000000000004</v>
      </c>
      <c r="AH159" s="47">
        <f t="shared" si="29"/>
        <v>0</v>
      </c>
      <c r="AI159" s="47">
        <f>COUNTIF('Score BD'!$M159:$P159,"no")</f>
        <v>0</v>
      </c>
      <c r="AJ159" s="47">
        <f t="shared" si="30"/>
        <v>0</v>
      </c>
      <c r="AK159" s="47">
        <f t="shared" si="31"/>
        <v>0</v>
      </c>
      <c r="AL159" s="47">
        <f t="shared" si="32"/>
        <v>0</v>
      </c>
      <c r="AM159" s="157" t="s">
        <v>581</v>
      </c>
      <c r="AN159" s="46"/>
      <c r="AO159" s="43"/>
      <c r="AP159" s="43"/>
      <c r="AQ159" s="59" t="str">
        <f>IFERROR(_xlfn.XLOOKUP(Tabla1[[#This Row],[Cedula agente]],Lista!$B$2:$B$97,Lista!$G$2:$G$97)," ")</f>
        <v>Luisa Fernanda Benavides Castrillon</v>
      </c>
      <c r="AR159" s="59" t="s">
        <v>162</v>
      </c>
      <c r="AS159" s="47" t="str">
        <f>IFERROR(_xlfn.XLOOKUP(Tabla1[[#This Row],[Cedula agente]],Lista!$B$2:$B$97,Lista!$F$2:$F$97)," ")</f>
        <v>John Sebastian Roncancio Avendaño</v>
      </c>
      <c r="AT159" s="99">
        <v>0.95</v>
      </c>
      <c r="AU159" s="199">
        <f>+WEEKNUM('Score BD'!$H159)-WEEKNUM(DATE(YEAR('Score BD'!$H159),MONTH('Score BD'!$H159),1))+1</f>
        <v>3</v>
      </c>
    </row>
    <row r="160" spans="1:47" s="51" customFormat="1" ht="17.45" customHeight="1" x14ac:dyDescent="0.3">
      <c r="A160" s="49" t="str">
        <f t="shared" si="22"/>
        <v>Ministerio de Educación Nacional</v>
      </c>
      <c r="B160" s="50">
        <f>+IFERROR(COUNTIF($J$3:J160,J160)," ")</f>
        <v>12</v>
      </c>
      <c r="C160" s="54" t="str">
        <f>+'Score BD'!$J160&amp;'Score BD'!$B160</f>
        <v>Maira Alejandra Rodriguez Losada12</v>
      </c>
      <c r="D160" s="91" t="s">
        <v>148</v>
      </c>
      <c r="E160" s="92" t="s">
        <v>164</v>
      </c>
      <c r="F160" s="92" t="s">
        <v>212</v>
      </c>
      <c r="G160" s="60" t="str">
        <f t="shared" si="23"/>
        <v>Noviembre</v>
      </c>
      <c r="H160" s="65">
        <v>45973</v>
      </c>
      <c r="I160" s="243">
        <v>45972</v>
      </c>
      <c r="J160" s="57" t="s">
        <v>204</v>
      </c>
      <c r="K160" s="52">
        <f>IFERROR(VLOOKUP('Score BD'!$J160,Lista!A:B,2,0)," ")</f>
        <v>1075224344</v>
      </c>
      <c r="L160" s="61" t="s">
        <v>409</v>
      </c>
      <c r="M160" s="59" t="s">
        <v>4</v>
      </c>
      <c r="N160" s="59" t="s">
        <v>4</v>
      </c>
      <c r="O160" s="59" t="s">
        <v>4</v>
      </c>
      <c r="P160" s="59" t="s">
        <v>4</v>
      </c>
      <c r="Q160" s="96">
        <f t="shared" si="24"/>
        <v>1</v>
      </c>
      <c r="R160" s="59" t="s">
        <v>4</v>
      </c>
      <c r="S160" s="59" t="s">
        <v>4</v>
      </c>
      <c r="T160" s="59" t="s">
        <v>4</v>
      </c>
      <c r="U160" s="59" t="s">
        <v>4</v>
      </c>
      <c r="V160" s="45">
        <f t="shared" si="25"/>
        <v>1</v>
      </c>
      <c r="W160" s="59" t="s">
        <v>4</v>
      </c>
      <c r="X160" s="59" t="s">
        <v>4</v>
      </c>
      <c r="Y160" s="59" t="s">
        <v>4</v>
      </c>
      <c r="Z160" s="59" t="s">
        <v>4</v>
      </c>
      <c r="AA160" s="59" t="s">
        <v>4</v>
      </c>
      <c r="AB160" s="59" t="s">
        <v>4</v>
      </c>
      <c r="AC160" s="45">
        <f t="shared" si="26"/>
        <v>1.000000000000002</v>
      </c>
      <c r="AD160" s="43" t="s">
        <v>4</v>
      </c>
      <c r="AE160" s="43" t="s">
        <v>4</v>
      </c>
      <c r="AF160" s="97">
        <f t="shared" si="27"/>
        <v>1</v>
      </c>
      <c r="AG160" s="44">
        <f t="shared" si="28"/>
        <v>1.0000000000000004</v>
      </c>
      <c r="AH160" s="47">
        <f t="shared" si="29"/>
        <v>0</v>
      </c>
      <c r="AI160" s="47">
        <f>COUNTIF('Score BD'!$M160:$P160,"no")</f>
        <v>0</v>
      </c>
      <c r="AJ160" s="47">
        <f t="shared" si="30"/>
        <v>0</v>
      </c>
      <c r="AK160" s="47">
        <f t="shared" si="31"/>
        <v>0</v>
      </c>
      <c r="AL160" s="47">
        <f t="shared" si="32"/>
        <v>0</v>
      </c>
      <c r="AM160" s="157" t="s">
        <v>581</v>
      </c>
      <c r="AN160" s="46"/>
      <c r="AO160" s="43"/>
      <c r="AP160" s="43"/>
      <c r="AQ160" s="59" t="str">
        <f>IFERROR(_xlfn.XLOOKUP(Tabla1[[#This Row],[Cedula agente]],Lista!$B$2:$B$97,Lista!$G$2:$G$97)," ")</f>
        <v>Luisa Fernanda Benavides Castrillon</v>
      </c>
      <c r="AR160" s="59" t="s">
        <v>162</v>
      </c>
      <c r="AS160" s="47" t="str">
        <f>IFERROR(_xlfn.XLOOKUP(Tabla1[[#This Row],[Cedula agente]],Lista!$B$2:$B$97,Lista!$F$2:$F$97)," ")</f>
        <v>John Sebastian Roncancio Avendaño</v>
      </c>
      <c r="AT160" s="99">
        <v>0.95</v>
      </c>
      <c r="AU160" s="199">
        <f>+WEEKNUM('Score BD'!$H160)-WEEKNUM(DATE(YEAR('Score BD'!$H160),MONTH('Score BD'!$H160),1))+1</f>
        <v>3</v>
      </c>
    </row>
    <row r="161" spans="1:47" s="51" customFormat="1" ht="17.45" customHeight="1" x14ac:dyDescent="0.3">
      <c r="A161" s="49" t="str">
        <f t="shared" si="22"/>
        <v>Ministerio de Educación Nacional</v>
      </c>
      <c r="B161" s="50">
        <f>+IFERROR(COUNTIF($J$3:J161,J161)," ")</f>
        <v>11</v>
      </c>
      <c r="C161" s="54" t="str">
        <f>+'Score BD'!$J161&amp;'Score BD'!$B161</f>
        <v>María José Uribe Medina11</v>
      </c>
      <c r="D161" s="91" t="s">
        <v>148</v>
      </c>
      <c r="E161" s="92" t="s">
        <v>164</v>
      </c>
      <c r="F161" s="92" t="s">
        <v>212</v>
      </c>
      <c r="G161" s="60" t="str">
        <f t="shared" si="23"/>
        <v>Noviembre</v>
      </c>
      <c r="H161" s="65">
        <v>45973</v>
      </c>
      <c r="I161" s="243">
        <v>45972</v>
      </c>
      <c r="J161" s="57" t="s">
        <v>205</v>
      </c>
      <c r="K161" s="52">
        <f>IFERROR(VLOOKUP('Score BD'!$J161,Lista!A:B,2,0)," ")</f>
        <v>1121919150</v>
      </c>
      <c r="L161" s="61" t="s">
        <v>410</v>
      </c>
      <c r="M161" s="59" t="s">
        <v>4</v>
      </c>
      <c r="N161" s="59" t="s">
        <v>4</v>
      </c>
      <c r="O161" s="59" t="s">
        <v>4</v>
      </c>
      <c r="P161" s="59" t="s">
        <v>4</v>
      </c>
      <c r="Q161" s="96">
        <f t="shared" si="24"/>
        <v>1</v>
      </c>
      <c r="R161" s="59" t="s">
        <v>4</v>
      </c>
      <c r="S161" s="59" t="s">
        <v>4</v>
      </c>
      <c r="T161" s="59" t="s">
        <v>4</v>
      </c>
      <c r="U161" s="59" t="s">
        <v>4</v>
      </c>
      <c r="V161" s="45">
        <f t="shared" si="25"/>
        <v>1</v>
      </c>
      <c r="W161" s="59" t="s">
        <v>4</v>
      </c>
      <c r="X161" s="59" t="s">
        <v>4</v>
      </c>
      <c r="Y161" s="59" t="s">
        <v>4</v>
      </c>
      <c r="Z161" s="59" t="s">
        <v>4</v>
      </c>
      <c r="AA161" s="59" t="s">
        <v>4</v>
      </c>
      <c r="AB161" s="59" t="s">
        <v>4</v>
      </c>
      <c r="AC161" s="45">
        <f t="shared" si="26"/>
        <v>1.000000000000002</v>
      </c>
      <c r="AD161" s="43" t="s">
        <v>4</v>
      </c>
      <c r="AE161" s="43" t="s">
        <v>4</v>
      </c>
      <c r="AF161" s="97">
        <f t="shared" si="27"/>
        <v>1</v>
      </c>
      <c r="AG161" s="44">
        <f t="shared" si="28"/>
        <v>1.0000000000000004</v>
      </c>
      <c r="AH161" s="47">
        <f t="shared" si="29"/>
        <v>0</v>
      </c>
      <c r="AI161" s="47">
        <f>COUNTIF('Score BD'!$M161:$P161,"no")</f>
        <v>0</v>
      </c>
      <c r="AJ161" s="47">
        <f t="shared" si="30"/>
        <v>0</v>
      </c>
      <c r="AK161" s="47">
        <f t="shared" si="31"/>
        <v>0</v>
      </c>
      <c r="AL161" s="47">
        <f t="shared" si="32"/>
        <v>0</v>
      </c>
      <c r="AM161" s="157" t="s">
        <v>581</v>
      </c>
      <c r="AN161" s="46"/>
      <c r="AO161" s="43"/>
      <c r="AP161" s="43"/>
      <c r="AQ161" s="59" t="str">
        <f>IFERROR(_xlfn.XLOOKUP(Tabla1[[#This Row],[Cedula agente]],Lista!$B$2:$B$97,Lista!$G$2:$G$97)," ")</f>
        <v>Luisa Fernanda Benavides Castrillon</v>
      </c>
      <c r="AR161" s="59" t="s">
        <v>162</v>
      </c>
      <c r="AS161" s="47" t="str">
        <f>IFERROR(_xlfn.XLOOKUP(Tabla1[[#This Row],[Cedula agente]],Lista!$B$2:$B$97,Lista!$F$2:$F$97)," ")</f>
        <v>John Sebastian Roncancio Avendaño</v>
      </c>
      <c r="AT161" s="99">
        <v>0.95</v>
      </c>
      <c r="AU161" s="199">
        <f>+WEEKNUM('Score BD'!$H161)-WEEKNUM(DATE(YEAR('Score BD'!$H161),MONTH('Score BD'!$H161),1))+1</f>
        <v>3</v>
      </c>
    </row>
    <row r="162" spans="1:47" s="51" customFormat="1" ht="17.45" customHeight="1" x14ac:dyDescent="0.3">
      <c r="A162" s="49" t="str">
        <f t="shared" si="22"/>
        <v>Ministerio de Educación Nacional</v>
      </c>
      <c r="B162" s="50">
        <f>+IFERROR(COUNTIF($J$3:J162,J162)," ")</f>
        <v>12</v>
      </c>
      <c r="C162" s="54" t="str">
        <f>+'Score BD'!$J162&amp;'Score BD'!$B162</f>
        <v>María José Uribe Medina12</v>
      </c>
      <c r="D162" s="91" t="s">
        <v>148</v>
      </c>
      <c r="E162" s="92" t="s">
        <v>164</v>
      </c>
      <c r="F162" s="92" t="s">
        <v>212</v>
      </c>
      <c r="G162" s="60" t="str">
        <f t="shared" si="23"/>
        <v>Noviembre</v>
      </c>
      <c r="H162" s="65">
        <v>45973</v>
      </c>
      <c r="I162" s="243">
        <v>45972</v>
      </c>
      <c r="J162" s="57" t="s">
        <v>205</v>
      </c>
      <c r="K162" s="52">
        <f>IFERROR(VLOOKUP('Score BD'!$J162,Lista!A:B,2,0)," ")</f>
        <v>1121919150</v>
      </c>
      <c r="L162" s="61" t="s">
        <v>411</v>
      </c>
      <c r="M162" s="59" t="s">
        <v>4</v>
      </c>
      <c r="N162" s="59" t="s">
        <v>4</v>
      </c>
      <c r="O162" s="59" t="s">
        <v>4</v>
      </c>
      <c r="P162" s="59" t="s">
        <v>4</v>
      </c>
      <c r="Q162" s="96">
        <f t="shared" si="24"/>
        <v>1</v>
      </c>
      <c r="R162" s="59" t="s">
        <v>4</v>
      </c>
      <c r="S162" s="59" t="s">
        <v>4</v>
      </c>
      <c r="T162" s="59" t="s">
        <v>4</v>
      </c>
      <c r="U162" s="59" t="s">
        <v>4</v>
      </c>
      <c r="V162" s="45">
        <f t="shared" si="25"/>
        <v>1</v>
      </c>
      <c r="W162" s="59" t="s">
        <v>4</v>
      </c>
      <c r="X162" s="59" t="s">
        <v>4</v>
      </c>
      <c r="Y162" s="59" t="s">
        <v>4</v>
      </c>
      <c r="Z162" s="59" t="s">
        <v>4</v>
      </c>
      <c r="AA162" s="59" t="s">
        <v>4</v>
      </c>
      <c r="AB162" s="59" t="s">
        <v>4</v>
      </c>
      <c r="AC162" s="45">
        <f t="shared" si="26"/>
        <v>1.000000000000002</v>
      </c>
      <c r="AD162" s="43" t="s">
        <v>4</v>
      </c>
      <c r="AE162" s="43" t="s">
        <v>4</v>
      </c>
      <c r="AF162" s="97">
        <f t="shared" si="27"/>
        <v>1</v>
      </c>
      <c r="AG162" s="44">
        <f t="shared" si="28"/>
        <v>1.0000000000000004</v>
      </c>
      <c r="AH162" s="47">
        <f t="shared" si="29"/>
        <v>0</v>
      </c>
      <c r="AI162" s="47">
        <f>COUNTIF('Score BD'!$M162:$P162,"no")</f>
        <v>0</v>
      </c>
      <c r="AJ162" s="47">
        <f t="shared" si="30"/>
        <v>0</v>
      </c>
      <c r="AK162" s="47">
        <f t="shared" si="31"/>
        <v>0</v>
      </c>
      <c r="AL162" s="47">
        <f t="shared" si="32"/>
        <v>0</v>
      </c>
      <c r="AM162" s="157" t="s">
        <v>581</v>
      </c>
      <c r="AN162" s="46"/>
      <c r="AO162" s="43"/>
      <c r="AP162" s="43"/>
      <c r="AQ162" s="59" t="str">
        <f>IFERROR(_xlfn.XLOOKUP(Tabla1[[#This Row],[Cedula agente]],Lista!$B$2:$B$97,Lista!$G$2:$G$97)," ")</f>
        <v>Luisa Fernanda Benavides Castrillon</v>
      </c>
      <c r="AR162" s="59" t="s">
        <v>162</v>
      </c>
      <c r="AS162" s="47" t="str">
        <f>IFERROR(_xlfn.XLOOKUP(Tabla1[[#This Row],[Cedula agente]],Lista!$B$2:$B$97,Lista!$F$2:$F$97)," ")</f>
        <v>John Sebastian Roncancio Avendaño</v>
      </c>
      <c r="AT162" s="99">
        <v>0.95</v>
      </c>
      <c r="AU162" s="199">
        <f>+WEEKNUM('Score BD'!$H162)-WEEKNUM(DATE(YEAR('Score BD'!$H162),MONTH('Score BD'!$H162),1))+1</f>
        <v>3</v>
      </c>
    </row>
    <row r="163" spans="1:47" s="51" customFormat="1" ht="17.45" customHeight="1" x14ac:dyDescent="0.3">
      <c r="A163" s="49" t="str">
        <f t="shared" si="22"/>
        <v>Ministerio de Educación Nacional</v>
      </c>
      <c r="B163" s="50">
        <f>+IFERROR(COUNTIF($J$3:J163,J163)," ")</f>
        <v>11</v>
      </c>
      <c r="C163" s="54" t="str">
        <f>+'Score BD'!$J163&amp;'Score BD'!$B163</f>
        <v>Natalia Cañón Betancourt11</v>
      </c>
      <c r="D163" s="91" t="s">
        <v>148</v>
      </c>
      <c r="E163" s="92" t="s">
        <v>164</v>
      </c>
      <c r="F163" s="92" t="s">
        <v>212</v>
      </c>
      <c r="G163" s="60" t="str">
        <f t="shared" si="23"/>
        <v>Noviembre</v>
      </c>
      <c r="H163" s="65">
        <v>45973</v>
      </c>
      <c r="I163" s="243">
        <v>45972</v>
      </c>
      <c r="J163" s="57" t="s">
        <v>181</v>
      </c>
      <c r="K163" s="52">
        <f>IFERROR(VLOOKUP('Score BD'!$J163,Lista!A:B,2,0)," ")</f>
        <v>1000383417</v>
      </c>
      <c r="L163" s="61" t="s">
        <v>412</v>
      </c>
      <c r="M163" s="59" t="s">
        <v>4</v>
      </c>
      <c r="N163" s="59" t="s">
        <v>4</v>
      </c>
      <c r="O163" s="59" t="s">
        <v>4</v>
      </c>
      <c r="P163" s="59" t="s">
        <v>4</v>
      </c>
      <c r="Q163" s="96">
        <f t="shared" si="24"/>
        <v>1</v>
      </c>
      <c r="R163" s="59" t="s">
        <v>4</v>
      </c>
      <c r="S163" s="59" t="s">
        <v>4</v>
      </c>
      <c r="T163" s="59" t="s">
        <v>4</v>
      </c>
      <c r="U163" s="59" t="s">
        <v>4</v>
      </c>
      <c r="V163" s="45">
        <f t="shared" si="25"/>
        <v>1</v>
      </c>
      <c r="W163" s="59" t="s">
        <v>4</v>
      </c>
      <c r="X163" s="59" t="s">
        <v>4</v>
      </c>
      <c r="Y163" s="59" t="s">
        <v>4</v>
      </c>
      <c r="Z163" s="59" t="s">
        <v>4</v>
      </c>
      <c r="AA163" s="59" t="s">
        <v>4</v>
      </c>
      <c r="AB163" s="59" t="s">
        <v>4</v>
      </c>
      <c r="AC163" s="45">
        <f t="shared" si="26"/>
        <v>1.000000000000002</v>
      </c>
      <c r="AD163" s="43" t="s">
        <v>4</v>
      </c>
      <c r="AE163" s="43" t="s">
        <v>4</v>
      </c>
      <c r="AF163" s="97">
        <f t="shared" si="27"/>
        <v>1</v>
      </c>
      <c r="AG163" s="44">
        <f t="shared" si="28"/>
        <v>1.0000000000000004</v>
      </c>
      <c r="AH163" s="47">
        <f t="shared" si="29"/>
        <v>0</v>
      </c>
      <c r="AI163" s="47">
        <f>COUNTIF('Score BD'!$M163:$P163,"no")</f>
        <v>0</v>
      </c>
      <c r="AJ163" s="47">
        <f t="shared" si="30"/>
        <v>0</v>
      </c>
      <c r="AK163" s="47">
        <f t="shared" si="31"/>
        <v>0</v>
      </c>
      <c r="AL163" s="47">
        <f t="shared" si="32"/>
        <v>0</v>
      </c>
      <c r="AM163" s="157" t="s">
        <v>581</v>
      </c>
      <c r="AN163" s="46"/>
      <c r="AO163" s="43"/>
      <c r="AP163" s="43"/>
      <c r="AQ163" s="59" t="str">
        <f>IFERROR(_xlfn.XLOOKUP(Tabla1[[#This Row],[Cedula agente]],Lista!$B$2:$B$97,Lista!$G$2:$G$97)," ")</f>
        <v>Luisa Fernanda Benavides Castrillon</v>
      </c>
      <c r="AR163" s="59" t="s">
        <v>162</v>
      </c>
      <c r="AS163" s="47" t="str">
        <f>IFERROR(_xlfn.XLOOKUP(Tabla1[[#This Row],[Cedula agente]],Lista!$B$2:$B$97,Lista!$F$2:$F$97)," ")</f>
        <v>John Sebastian Roncancio Avendaño</v>
      </c>
      <c r="AT163" s="99">
        <v>0.95</v>
      </c>
      <c r="AU163" s="199">
        <f>+WEEKNUM('Score BD'!$H163)-WEEKNUM(DATE(YEAR('Score BD'!$H163),MONTH('Score BD'!$H163),1))+1</f>
        <v>3</v>
      </c>
    </row>
    <row r="164" spans="1:47" s="51" customFormat="1" ht="17.45" customHeight="1" x14ac:dyDescent="0.3">
      <c r="A164" s="49" t="str">
        <f t="shared" si="22"/>
        <v>Ministerio de Educación Nacional</v>
      </c>
      <c r="B164" s="50">
        <f>+IFERROR(COUNTIF($J$3:J164,J164)," ")</f>
        <v>12</v>
      </c>
      <c r="C164" s="54" t="str">
        <f>+'Score BD'!$J164&amp;'Score BD'!$B164</f>
        <v>Natalia Cañón Betancourt12</v>
      </c>
      <c r="D164" s="91" t="s">
        <v>148</v>
      </c>
      <c r="E164" s="92" t="s">
        <v>164</v>
      </c>
      <c r="F164" s="92" t="s">
        <v>212</v>
      </c>
      <c r="G164" s="60" t="str">
        <f t="shared" si="23"/>
        <v>Noviembre</v>
      </c>
      <c r="H164" s="65">
        <v>45973</v>
      </c>
      <c r="I164" s="243">
        <v>45972</v>
      </c>
      <c r="J164" s="57" t="s">
        <v>181</v>
      </c>
      <c r="K164" s="52">
        <f>IFERROR(VLOOKUP('Score BD'!$J164,Lista!A:B,2,0)," ")</f>
        <v>1000383417</v>
      </c>
      <c r="L164" s="61" t="s">
        <v>413</v>
      </c>
      <c r="M164" s="59" t="s">
        <v>4</v>
      </c>
      <c r="N164" s="59" t="s">
        <v>4</v>
      </c>
      <c r="O164" s="59" t="s">
        <v>4</v>
      </c>
      <c r="P164" s="59" t="s">
        <v>4</v>
      </c>
      <c r="Q164" s="96">
        <f t="shared" si="24"/>
        <v>1</v>
      </c>
      <c r="R164" s="59" t="s">
        <v>4</v>
      </c>
      <c r="S164" s="59" t="s">
        <v>4</v>
      </c>
      <c r="T164" s="59" t="s">
        <v>4</v>
      </c>
      <c r="U164" s="59" t="s">
        <v>4</v>
      </c>
      <c r="V164" s="45">
        <f t="shared" si="25"/>
        <v>1</v>
      </c>
      <c r="W164" s="59" t="s">
        <v>4</v>
      </c>
      <c r="X164" s="59" t="s">
        <v>4</v>
      </c>
      <c r="Y164" s="59" t="s">
        <v>4</v>
      </c>
      <c r="Z164" s="59" t="s">
        <v>4</v>
      </c>
      <c r="AA164" s="59" t="s">
        <v>4</v>
      </c>
      <c r="AB164" s="59" t="s">
        <v>4</v>
      </c>
      <c r="AC164" s="45">
        <f t="shared" si="26"/>
        <v>1.000000000000002</v>
      </c>
      <c r="AD164" s="43" t="s">
        <v>4</v>
      </c>
      <c r="AE164" s="43" t="s">
        <v>4</v>
      </c>
      <c r="AF164" s="97">
        <f t="shared" si="27"/>
        <v>1</v>
      </c>
      <c r="AG164" s="44">
        <f t="shared" si="28"/>
        <v>1.0000000000000004</v>
      </c>
      <c r="AH164" s="47">
        <f t="shared" si="29"/>
        <v>0</v>
      </c>
      <c r="AI164" s="47">
        <f>COUNTIF('Score BD'!$M164:$P164,"no")</f>
        <v>0</v>
      </c>
      <c r="AJ164" s="47">
        <f t="shared" si="30"/>
        <v>0</v>
      </c>
      <c r="AK164" s="47">
        <f t="shared" si="31"/>
        <v>0</v>
      </c>
      <c r="AL164" s="47">
        <f t="shared" si="32"/>
        <v>0</v>
      </c>
      <c r="AM164" s="157" t="s">
        <v>581</v>
      </c>
      <c r="AN164" s="46"/>
      <c r="AO164" s="43"/>
      <c r="AP164" s="43"/>
      <c r="AQ164" s="59" t="str">
        <f>IFERROR(_xlfn.XLOOKUP(Tabla1[[#This Row],[Cedula agente]],Lista!$B$2:$B$97,Lista!$G$2:$G$97)," ")</f>
        <v>Luisa Fernanda Benavides Castrillon</v>
      </c>
      <c r="AR164" s="59" t="s">
        <v>162</v>
      </c>
      <c r="AS164" s="47" t="str">
        <f>IFERROR(_xlfn.XLOOKUP(Tabla1[[#This Row],[Cedula agente]],Lista!$B$2:$B$97,Lista!$F$2:$F$97)," ")</f>
        <v>John Sebastian Roncancio Avendaño</v>
      </c>
      <c r="AT164" s="99">
        <v>0.95</v>
      </c>
      <c r="AU164" s="199">
        <f>+WEEKNUM('Score BD'!$H164)-WEEKNUM(DATE(YEAR('Score BD'!$H164),MONTH('Score BD'!$H164),1))+1</f>
        <v>3</v>
      </c>
    </row>
    <row r="165" spans="1:47" ht="17.45" customHeight="1" x14ac:dyDescent="0.3">
      <c r="A165" s="49" t="str">
        <f t="shared" si="22"/>
        <v>Ministerio de Educación Nacional</v>
      </c>
      <c r="B165" s="50">
        <f>+IFERROR(COUNTIF($J$3:J165,J165)," ")</f>
        <v>6</v>
      </c>
      <c r="C165" s="54" t="str">
        <f>+'Score BD'!$J165&amp;'Score BD'!$B165</f>
        <v>Quira Alejandra Herrera Camelo6</v>
      </c>
      <c r="D165" s="91" t="s">
        <v>148</v>
      </c>
      <c r="E165" s="92" t="s">
        <v>208</v>
      </c>
      <c r="F165" s="92" t="s">
        <v>212</v>
      </c>
      <c r="G165" s="60" t="str">
        <f t="shared" si="23"/>
        <v>Noviembre</v>
      </c>
      <c r="H165" s="65">
        <v>45973</v>
      </c>
      <c r="I165" s="243">
        <v>45972</v>
      </c>
      <c r="J165" s="57" t="s">
        <v>182</v>
      </c>
      <c r="K165" s="62">
        <f>IFERROR(VLOOKUP('Score BD'!$J165,Lista!A:B,2,0)," ")</f>
        <v>1010214168</v>
      </c>
      <c r="L165" s="61" t="s">
        <v>414</v>
      </c>
      <c r="M165" s="59" t="s">
        <v>4</v>
      </c>
      <c r="N165" s="59" t="s">
        <v>4</v>
      </c>
      <c r="O165" s="59" t="s">
        <v>4</v>
      </c>
      <c r="P165" s="59" t="s">
        <v>4</v>
      </c>
      <c r="Q165" s="96">
        <f t="shared" si="24"/>
        <v>1</v>
      </c>
      <c r="R165" s="59" t="s">
        <v>4</v>
      </c>
      <c r="S165" s="59" t="s">
        <v>4</v>
      </c>
      <c r="T165" s="59" t="s">
        <v>4</v>
      </c>
      <c r="U165" s="59" t="s">
        <v>4</v>
      </c>
      <c r="V165" s="66">
        <f t="shared" si="25"/>
        <v>1</v>
      </c>
      <c r="W165" s="59" t="s">
        <v>4</v>
      </c>
      <c r="X165" s="59" t="s">
        <v>4</v>
      </c>
      <c r="Y165" s="59" t="s">
        <v>4</v>
      </c>
      <c r="Z165" s="59" t="s">
        <v>4</v>
      </c>
      <c r="AA165" s="59" t="s">
        <v>4</v>
      </c>
      <c r="AB165" s="59" t="s">
        <v>4</v>
      </c>
      <c r="AC165" s="66">
        <f t="shared" si="26"/>
        <v>1.000000000000002</v>
      </c>
      <c r="AD165" s="43" t="s">
        <v>4</v>
      </c>
      <c r="AE165" s="43" t="s">
        <v>4</v>
      </c>
      <c r="AF165" s="97">
        <f t="shared" si="27"/>
        <v>1</v>
      </c>
      <c r="AG165" s="44">
        <f t="shared" si="28"/>
        <v>1.0000000000000004</v>
      </c>
      <c r="AH165" s="64">
        <f t="shared" si="29"/>
        <v>0</v>
      </c>
      <c r="AI165" s="64">
        <f>COUNTIF('Score BD'!$M165:$P165,"no")</f>
        <v>0</v>
      </c>
      <c r="AJ165" s="64">
        <f t="shared" si="30"/>
        <v>0</v>
      </c>
      <c r="AK165" s="64">
        <f t="shared" si="31"/>
        <v>0</v>
      </c>
      <c r="AL165" s="64">
        <f t="shared" si="32"/>
        <v>0</v>
      </c>
      <c r="AM165" s="157" t="s">
        <v>581</v>
      </c>
      <c r="AN165" s="64"/>
      <c r="AO165" s="63"/>
      <c r="AP165" s="63"/>
      <c r="AQ165" s="59" t="str">
        <f>IFERROR(_xlfn.XLOOKUP(Tabla1[[#This Row],[Cedula agente]],Lista!$B$2:$B$97,Lista!$G$2:$G$97)," ")</f>
        <v>Luisa Fernanda Benavides Castrillon</v>
      </c>
      <c r="AR165" s="59" t="s">
        <v>162</v>
      </c>
      <c r="AS165" s="64" t="str">
        <f>IFERROR(_xlfn.XLOOKUP(Tabla1[[#This Row],[Cedula agente]],Lista!$B$2:$B$97,Lista!$F$2:$F$97)," ")</f>
        <v>John Sebastian Roncancio Avendaño</v>
      </c>
      <c r="AT165" s="99">
        <v>0.95</v>
      </c>
      <c r="AU165" s="201">
        <f>+WEEKNUM('Score BD'!$H165)-WEEKNUM(DATE(YEAR('Score BD'!$H165),MONTH('Score BD'!$H165),1))+1</f>
        <v>3</v>
      </c>
    </row>
    <row r="166" spans="1:47" ht="17.45" customHeight="1" x14ac:dyDescent="0.3">
      <c r="A166" s="49" t="str">
        <f t="shared" si="22"/>
        <v>Ministerio de Educación Nacional</v>
      </c>
      <c r="B166" s="50">
        <f>+IFERROR(COUNTIF($J$3:J166,J166)," ")</f>
        <v>6</v>
      </c>
      <c r="C166" s="54" t="str">
        <f>+'Score BD'!$J166&amp;'Score BD'!$B166</f>
        <v>Valentina Castillo Rondón6</v>
      </c>
      <c r="D166" s="91" t="s">
        <v>148</v>
      </c>
      <c r="E166" s="92" t="s">
        <v>165</v>
      </c>
      <c r="F166" s="92" t="s">
        <v>212</v>
      </c>
      <c r="G166" s="60" t="str">
        <f t="shared" si="23"/>
        <v>Noviembre</v>
      </c>
      <c r="H166" s="65">
        <v>45973</v>
      </c>
      <c r="I166" s="243">
        <v>45972</v>
      </c>
      <c r="J166" s="57" t="s">
        <v>183</v>
      </c>
      <c r="K166" s="54">
        <f>IFERROR(VLOOKUP('Score BD'!$J166,Lista!A:B,2,0)," ")</f>
        <v>1121950095</v>
      </c>
      <c r="L166" s="61" t="s">
        <v>415</v>
      </c>
      <c r="M166" s="59" t="s">
        <v>4</v>
      </c>
      <c r="N166" s="59" t="s">
        <v>4</v>
      </c>
      <c r="O166" s="59" t="s">
        <v>4</v>
      </c>
      <c r="P166" s="59" t="s">
        <v>4</v>
      </c>
      <c r="Q166" s="96">
        <f t="shared" si="24"/>
        <v>1</v>
      </c>
      <c r="R166" s="59" t="s">
        <v>4</v>
      </c>
      <c r="S166" s="59" t="s">
        <v>4</v>
      </c>
      <c r="T166" s="59" t="s">
        <v>4</v>
      </c>
      <c r="U166" s="59" t="s">
        <v>4</v>
      </c>
      <c r="V166" s="45">
        <f t="shared" si="25"/>
        <v>1</v>
      </c>
      <c r="W166" s="59" t="s">
        <v>4</v>
      </c>
      <c r="X166" s="59" t="s">
        <v>4</v>
      </c>
      <c r="Y166" s="59" t="s">
        <v>4</v>
      </c>
      <c r="Z166" s="59" t="s">
        <v>4</v>
      </c>
      <c r="AA166" s="59" t="s">
        <v>4</v>
      </c>
      <c r="AB166" s="59" t="s">
        <v>4</v>
      </c>
      <c r="AC166" s="45">
        <f t="shared" si="26"/>
        <v>1.000000000000002</v>
      </c>
      <c r="AD166" s="43" t="s">
        <v>4</v>
      </c>
      <c r="AE166" s="43" t="s">
        <v>4</v>
      </c>
      <c r="AF166" s="97">
        <f t="shared" si="27"/>
        <v>1</v>
      </c>
      <c r="AG166" s="44">
        <f t="shared" si="28"/>
        <v>1.0000000000000004</v>
      </c>
      <c r="AH166" s="55">
        <f t="shared" si="29"/>
        <v>0</v>
      </c>
      <c r="AI166" s="55">
        <f>COUNTIF('Score BD'!$M166:$P166,"no")</f>
        <v>0</v>
      </c>
      <c r="AJ166" s="55">
        <f t="shared" si="30"/>
        <v>0</v>
      </c>
      <c r="AK166" s="55">
        <f t="shared" si="31"/>
        <v>0</v>
      </c>
      <c r="AL166" s="55">
        <f t="shared" si="32"/>
        <v>0</v>
      </c>
      <c r="AM166" s="157" t="s">
        <v>581</v>
      </c>
      <c r="AN166" s="55"/>
      <c r="AO166" s="61"/>
      <c r="AP166" s="61"/>
      <c r="AQ166" s="59" t="str">
        <f>IFERROR(_xlfn.XLOOKUP(Tabla1[[#This Row],[Cedula agente]],Lista!$B$2:$B$97,Lista!$G$2:$G$97)," ")</f>
        <v>Luisa Fernanda Benavides Castrillon</v>
      </c>
      <c r="AR166" s="59" t="s">
        <v>162</v>
      </c>
      <c r="AS166" s="55" t="str">
        <f>IFERROR(_xlfn.XLOOKUP(Tabla1[[#This Row],[Cedula agente]],Lista!$B$2:$B$97,Lista!$F$2:$F$97)," ")</f>
        <v>John Sebastian Roncancio Avendaño</v>
      </c>
      <c r="AT166" s="99">
        <v>0.95</v>
      </c>
      <c r="AU166" s="200">
        <f>+WEEKNUM('Score BD'!$H166)-WEEKNUM(DATE(YEAR('Score BD'!$H166),MONTH('Score BD'!$H166),1))+1</f>
        <v>3</v>
      </c>
    </row>
    <row r="167" spans="1:47" ht="17.45" customHeight="1" x14ac:dyDescent="0.3">
      <c r="A167" s="49" t="str">
        <f t="shared" si="22"/>
        <v>Ministerio de Educación Nacional</v>
      </c>
      <c r="B167" s="50">
        <f>+IFERROR(COUNTIF($J$3:J167,J167)," ")</f>
        <v>7</v>
      </c>
      <c r="C167" s="54" t="str">
        <f>+'Score BD'!$J167&amp;'Score BD'!$B167</f>
        <v>Valentina Castillo Rondón7</v>
      </c>
      <c r="D167" s="91" t="s">
        <v>148</v>
      </c>
      <c r="E167" s="92" t="s">
        <v>165</v>
      </c>
      <c r="F167" s="92" t="s">
        <v>212</v>
      </c>
      <c r="G167" s="60" t="str">
        <f t="shared" si="23"/>
        <v>Noviembre</v>
      </c>
      <c r="H167" s="65">
        <v>45973</v>
      </c>
      <c r="I167" s="243">
        <v>45972</v>
      </c>
      <c r="J167" s="57" t="s">
        <v>183</v>
      </c>
      <c r="K167" s="54">
        <f>IFERROR(VLOOKUP('Score BD'!$J167,Lista!A:B,2,0)," ")</f>
        <v>1121950095</v>
      </c>
      <c r="L167" s="61" t="s">
        <v>416</v>
      </c>
      <c r="M167" s="59" t="s">
        <v>4</v>
      </c>
      <c r="N167" s="59" t="s">
        <v>4</v>
      </c>
      <c r="O167" s="59" t="s">
        <v>4</v>
      </c>
      <c r="P167" s="59" t="s">
        <v>4</v>
      </c>
      <c r="Q167" s="96">
        <f t="shared" si="24"/>
        <v>1</v>
      </c>
      <c r="R167" s="59" t="s">
        <v>4</v>
      </c>
      <c r="S167" s="59" t="s">
        <v>4</v>
      </c>
      <c r="T167" s="59" t="s">
        <v>4</v>
      </c>
      <c r="U167" s="59" t="s">
        <v>4</v>
      </c>
      <c r="V167" s="45">
        <f t="shared" si="25"/>
        <v>1</v>
      </c>
      <c r="W167" s="59" t="s">
        <v>4</v>
      </c>
      <c r="X167" s="59" t="s">
        <v>4</v>
      </c>
      <c r="Y167" s="59" t="s">
        <v>4</v>
      </c>
      <c r="Z167" s="59" t="s">
        <v>4</v>
      </c>
      <c r="AA167" s="59" t="s">
        <v>4</v>
      </c>
      <c r="AB167" s="59" t="s">
        <v>4</v>
      </c>
      <c r="AC167" s="45">
        <f t="shared" si="26"/>
        <v>1.000000000000002</v>
      </c>
      <c r="AD167" s="43" t="s">
        <v>4</v>
      </c>
      <c r="AE167" s="43" t="s">
        <v>4</v>
      </c>
      <c r="AF167" s="97">
        <f t="shared" si="27"/>
        <v>1</v>
      </c>
      <c r="AG167" s="44">
        <f t="shared" si="28"/>
        <v>1.0000000000000004</v>
      </c>
      <c r="AH167" s="55">
        <f t="shared" si="29"/>
        <v>0</v>
      </c>
      <c r="AI167" s="55">
        <f>COUNTIF('Score BD'!$M167:$P167,"no")</f>
        <v>0</v>
      </c>
      <c r="AJ167" s="55">
        <f t="shared" si="30"/>
        <v>0</v>
      </c>
      <c r="AK167" s="55">
        <f t="shared" si="31"/>
        <v>0</v>
      </c>
      <c r="AL167" s="55">
        <f t="shared" si="32"/>
        <v>0</v>
      </c>
      <c r="AM167" s="157" t="s">
        <v>581</v>
      </c>
      <c r="AN167" s="55"/>
      <c r="AO167" s="61"/>
      <c r="AP167" s="61"/>
      <c r="AQ167" s="59" t="str">
        <f>IFERROR(_xlfn.XLOOKUP(Tabla1[[#This Row],[Cedula agente]],Lista!$B$2:$B$97,Lista!$G$2:$G$97)," ")</f>
        <v>Luisa Fernanda Benavides Castrillon</v>
      </c>
      <c r="AR167" s="59" t="s">
        <v>162</v>
      </c>
      <c r="AS167" s="55" t="str">
        <f>IFERROR(_xlfn.XLOOKUP(Tabla1[[#This Row],[Cedula agente]],Lista!$B$2:$B$97,Lista!$F$2:$F$97)," ")</f>
        <v>John Sebastian Roncancio Avendaño</v>
      </c>
      <c r="AT167" s="99">
        <v>0.95</v>
      </c>
      <c r="AU167" s="200">
        <f>+WEEKNUM('Score BD'!$H167)-WEEKNUM(DATE(YEAR('Score BD'!$H167),MONTH('Score BD'!$H167),1))+1</f>
        <v>3</v>
      </c>
    </row>
    <row r="168" spans="1:47" ht="17.45" customHeight="1" x14ac:dyDescent="0.3">
      <c r="A168" s="49" t="str">
        <f t="shared" si="22"/>
        <v>Ministerio de Educación Nacional</v>
      </c>
      <c r="B168" s="50">
        <f>+IFERROR(COUNTIF($J$3:J168,J168)," ")</f>
        <v>7</v>
      </c>
      <c r="C168" s="54" t="str">
        <f>+'Score BD'!$J168&amp;'Score BD'!$B168</f>
        <v>Yenny Maribel Duran Ovejero7</v>
      </c>
      <c r="D168" s="91" t="s">
        <v>148</v>
      </c>
      <c r="E168" s="92" t="s">
        <v>165</v>
      </c>
      <c r="F168" s="92" t="s">
        <v>212</v>
      </c>
      <c r="G168" s="60" t="str">
        <f t="shared" si="23"/>
        <v>Noviembre</v>
      </c>
      <c r="H168" s="65">
        <v>45973</v>
      </c>
      <c r="I168" s="243">
        <v>45972</v>
      </c>
      <c r="J168" s="57" t="s">
        <v>206</v>
      </c>
      <c r="K168" s="54">
        <f>IFERROR(VLOOKUP('Score BD'!$J168,Lista!A:B,2,0)," ")</f>
        <v>52962387</v>
      </c>
      <c r="L168" s="61" t="s">
        <v>417</v>
      </c>
      <c r="M168" s="59" t="s">
        <v>4</v>
      </c>
      <c r="N168" s="59" t="s">
        <v>4</v>
      </c>
      <c r="O168" s="59" t="s">
        <v>4</v>
      </c>
      <c r="P168" s="59" t="s">
        <v>4</v>
      </c>
      <c r="Q168" s="96">
        <f t="shared" si="24"/>
        <v>1</v>
      </c>
      <c r="R168" s="59" t="s">
        <v>4</v>
      </c>
      <c r="S168" s="59" t="s">
        <v>4</v>
      </c>
      <c r="T168" s="59" t="s">
        <v>4</v>
      </c>
      <c r="U168" s="59" t="s">
        <v>4</v>
      </c>
      <c r="V168" s="45">
        <f t="shared" si="25"/>
        <v>1</v>
      </c>
      <c r="W168" s="59" t="s">
        <v>4</v>
      </c>
      <c r="X168" s="59" t="s">
        <v>4</v>
      </c>
      <c r="Y168" s="59" t="s">
        <v>4</v>
      </c>
      <c r="Z168" s="59" t="s">
        <v>4</v>
      </c>
      <c r="AA168" s="59" t="s">
        <v>4</v>
      </c>
      <c r="AB168" s="59" t="s">
        <v>4</v>
      </c>
      <c r="AC168" s="45">
        <f t="shared" si="26"/>
        <v>1.000000000000002</v>
      </c>
      <c r="AD168" s="43" t="s">
        <v>4</v>
      </c>
      <c r="AE168" s="43" t="s">
        <v>4</v>
      </c>
      <c r="AF168" s="97">
        <f t="shared" si="27"/>
        <v>1</v>
      </c>
      <c r="AG168" s="44">
        <f t="shared" si="28"/>
        <v>1.0000000000000004</v>
      </c>
      <c r="AH168" s="55">
        <f t="shared" si="29"/>
        <v>0</v>
      </c>
      <c r="AI168" s="55">
        <f>COUNTIF('Score BD'!$M168:$P168,"no")</f>
        <v>0</v>
      </c>
      <c r="AJ168" s="55">
        <f t="shared" si="30"/>
        <v>0</v>
      </c>
      <c r="AK168" s="55">
        <f t="shared" si="31"/>
        <v>0</v>
      </c>
      <c r="AL168" s="55">
        <f t="shared" si="32"/>
        <v>0</v>
      </c>
      <c r="AM168" s="157" t="s">
        <v>581</v>
      </c>
      <c r="AN168" s="55"/>
      <c r="AO168" s="61"/>
      <c r="AP168" s="61"/>
      <c r="AQ168" s="59" t="str">
        <f>IFERROR(_xlfn.XLOOKUP(Tabla1[[#This Row],[Cedula agente]],Lista!$B$2:$B$97,Lista!$G$2:$G$97)," ")</f>
        <v>Luisa Fernanda Benavides Castrillon</v>
      </c>
      <c r="AR168" s="59" t="s">
        <v>162</v>
      </c>
      <c r="AS168" s="55" t="str">
        <f>IFERROR(_xlfn.XLOOKUP(Tabla1[[#This Row],[Cedula agente]],Lista!$B$2:$B$97,Lista!$F$2:$F$97)," ")</f>
        <v>John Sebastian Roncancio Avendaño</v>
      </c>
      <c r="AT168" s="99">
        <v>0.95</v>
      </c>
      <c r="AU168" s="200">
        <f>+WEEKNUM('Score BD'!$H168)-WEEKNUM(DATE(YEAR('Score BD'!$H168),MONTH('Score BD'!$H168),1))+1</f>
        <v>3</v>
      </c>
    </row>
    <row r="169" spans="1:47" ht="17.45" customHeight="1" x14ac:dyDescent="0.3">
      <c r="A169" s="49" t="str">
        <f t="shared" si="22"/>
        <v>Ministerio de Educación Nacional</v>
      </c>
      <c r="B169" s="50">
        <f>+IFERROR(COUNTIF($J$3:J169,J169)," ")</f>
        <v>8</v>
      </c>
      <c r="C169" s="54" t="str">
        <f>+'Score BD'!$J169&amp;'Score BD'!$B169</f>
        <v>Yenny Maribel Duran Ovejero8</v>
      </c>
      <c r="D169" s="91" t="s">
        <v>148</v>
      </c>
      <c r="E169" s="92" t="s">
        <v>165</v>
      </c>
      <c r="F169" s="92" t="s">
        <v>212</v>
      </c>
      <c r="G169" s="60" t="str">
        <f t="shared" si="23"/>
        <v>Noviembre</v>
      </c>
      <c r="H169" s="65">
        <v>45973</v>
      </c>
      <c r="I169" s="243">
        <v>45972</v>
      </c>
      <c r="J169" s="57" t="s">
        <v>206</v>
      </c>
      <c r="K169" s="54">
        <f>IFERROR(VLOOKUP('Score BD'!$J169,Lista!A:B,2,0)," ")</f>
        <v>52962387</v>
      </c>
      <c r="L169" s="61" t="s">
        <v>418</v>
      </c>
      <c r="M169" s="59" t="s">
        <v>4</v>
      </c>
      <c r="N169" s="59" t="s">
        <v>4</v>
      </c>
      <c r="O169" s="59" t="s">
        <v>4</v>
      </c>
      <c r="P169" s="59" t="s">
        <v>4</v>
      </c>
      <c r="Q169" s="96">
        <f t="shared" si="24"/>
        <v>1</v>
      </c>
      <c r="R169" s="59" t="s">
        <v>4</v>
      </c>
      <c r="S169" s="59" t="s">
        <v>4</v>
      </c>
      <c r="T169" s="59" t="s">
        <v>4</v>
      </c>
      <c r="U169" s="59" t="s">
        <v>4</v>
      </c>
      <c r="V169" s="45">
        <f t="shared" si="25"/>
        <v>1</v>
      </c>
      <c r="W169" s="59" t="s">
        <v>4</v>
      </c>
      <c r="X169" s="59" t="s">
        <v>4</v>
      </c>
      <c r="Y169" s="59" t="s">
        <v>4</v>
      </c>
      <c r="Z169" s="59" t="s">
        <v>4</v>
      </c>
      <c r="AA169" s="59" t="s">
        <v>4</v>
      </c>
      <c r="AB169" s="59" t="s">
        <v>4</v>
      </c>
      <c r="AC169" s="45">
        <f t="shared" si="26"/>
        <v>1.000000000000002</v>
      </c>
      <c r="AD169" s="43" t="s">
        <v>4</v>
      </c>
      <c r="AE169" s="43" t="s">
        <v>4</v>
      </c>
      <c r="AF169" s="97">
        <f t="shared" si="27"/>
        <v>1</v>
      </c>
      <c r="AG169" s="44">
        <f t="shared" si="28"/>
        <v>1.0000000000000004</v>
      </c>
      <c r="AH169" s="55">
        <f t="shared" si="29"/>
        <v>0</v>
      </c>
      <c r="AI169" s="55">
        <f>COUNTIF('Score BD'!$M169:$P169,"no")</f>
        <v>0</v>
      </c>
      <c r="AJ169" s="55">
        <f t="shared" si="30"/>
        <v>0</v>
      </c>
      <c r="AK169" s="55">
        <f t="shared" si="31"/>
        <v>0</v>
      </c>
      <c r="AL169" s="55">
        <f t="shared" si="32"/>
        <v>0</v>
      </c>
      <c r="AM169" s="157" t="s">
        <v>581</v>
      </c>
      <c r="AN169" s="55"/>
      <c r="AO169" s="61"/>
      <c r="AP169" s="61"/>
      <c r="AQ169" s="59" t="str">
        <f>IFERROR(_xlfn.XLOOKUP(Tabla1[[#This Row],[Cedula agente]],Lista!$B$2:$B$97,Lista!$G$2:$G$97)," ")</f>
        <v>Luisa Fernanda Benavides Castrillon</v>
      </c>
      <c r="AR169" s="59" t="s">
        <v>162</v>
      </c>
      <c r="AS169" s="55" t="str">
        <f>IFERROR(_xlfn.XLOOKUP(Tabla1[[#This Row],[Cedula agente]],Lista!$B$2:$B$97,Lista!$F$2:$F$97)," ")</f>
        <v>John Sebastian Roncancio Avendaño</v>
      </c>
      <c r="AT169" s="99">
        <v>0.95</v>
      </c>
      <c r="AU169" s="200">
        <f>+WEEKNUM('Score BD'!$H169)-WEEKNUM(DATE(YEAR('Score BD'!$H169),MONTH('Score BD'!$H169),1))+1</f>
        <v>3</v>
      </c>
    </row>
    <row r="170" spans="1:47" ht="17.45" customHeight="1" x14ac:dyDescent="0.3">
      <c r="A170" s="49" t="str">
        <f t="shared" si="22"/>
        <v>Ministerio de Educación Nacional</v>
      </c>
      <c r="B170" s="50">
        <f>+IFERROR(COUNTIF($J$3:J170,J170)," ")</f>
        <v>19</v>
      </c>
      <c r="C170" s="54" t="str">
        <f>+'Score BD'!$J170&amp;'Score BD'!$B170</f>
        <v>Ana Graciela Barbosa Villalobos19</v>
      </c>
      <c r="D170" s="91" t="s">
        <v>148</v>
      </c>
      <c r="E170" s="92" t="s">
        <v>210</v>
      </c>
      <c r="F170" s="92" t="s">
        <v>212</v>
      </c>
      <c r="G170" s="60" t="str">
        <f t="shared" si="23"/>
        <v>Noviembre</v>
      </c>
      <c r="H170" s="65">
        <v>45974</v>
      </c>
      <c r="I170" s="243">
        <v>45973</v>
      </c>
      <c r="J170" s="57" t="s">
        <v>171</v>
      </c>
      <c r="K170" s="54">
        <f>IFERROR(VLOOKUP('Score BD'!$J170,Lista!A:B,2,0)," ")</f>
        <v>1026264261</v>
      </c>
      <c r="L170" s="61" t="s">
        <v>419</v>
      </c>
      <c r="M170" s="59" t="s">
        <v>4</v>
      </c>
      <c r="N170" s="59" t="s">
        <v>4</v>
      </c>
      <c r="O170" s="59" t="s">
        <v>4</v>
      </c>
      <c r="P170" s="59" t="s">
        <v>4</v>
      </c>
      <c r="Q170" s="96">
        <f t="shared" si="24"/>
        <v>1</v>
      </c>
      <c r="R170" s="59" t="s">
        <v>4</v>
      </c>
      <c r="S170" s="59" t="s">
        <v>4</v>
      </c>
      <c r="T170" s="59" t="s">
        <v>4</v>
      </c>
      <c r="U170" s="59" t="s">
        <v>4</v>
      </c>
      <c r="V170" s="45">
        <f t="shared" si="25"/>
        <v>1</v>
      </c>
      <c r="W170" s="59" t="s">
        <v>4</v>
      </c>
      <c r="X170" s="59" t="s">
        <v>4</v>
      </c>
      <c r="Y170" s="59" t="s">
        <v>4</v>
      </c>
      <c r="Z170" s="59" t="s">
        <v>4</v>
      </c>
      <c r="AA170" s="59" t="s">
        <v>4</v>
      </c>
      <c r="AB170" s="59" t="s">
        <v>4</v>
      </c>
      <c r="AC170" s="45">
        <f t="shared" si="26"/>
        <v>1.000000000000002</v>
      </c>
      <c r="AD170" s="43" t="s">
        <v>4</v>
      </c>
      <c r="AE170" s="43" t="s">
        <v>4</v>
      </c>
      <c r="AF170" s="97">
        <f t="shared" si="27"/>
        <v>1</v>
      </c>
      <c r="AG170" s="44">
        <f t="shared" si="28"/>
        <v>1.0000000000000004</v>
      </c>
      <c r="AH170" s="55">
        <f t="shared" si="29"/>
        <v>0</v>
      </c>
      <c r="AI170" s="55">
        <f>COUNTIF('Score BD'!$M170:$P170,"no")</f>
        <v>0</v>
      </c>
      <c r="AJ170" s="55">
        <f t="shared" si="30"/>
        <v>0</v>
      </c>
      <c r="AK170" s="55">
        <f t="shared" si="31"/>
        <v>0</v>
      </c>
      <c r="AL170" s="55">
        <f t="shared" si="32"/>
        <v>0</v>
      </c>
      <c r="AM170" s="104" t="s">
        <v>582</v>
      </c>
      <c r="AN170" s="55"/>
      <c r="AO170" s="61"/>
      <c r="AP170" s="61"/>
      <c r="AQ170" s="59" t="str">
        <f>IFERROR(_xlfn.XLOOKUP(Tabla1[[#This Row],[Cedula agente]],Lista!$B$2:$B$97,Lista!$G$2:$G$97)," ")</f>
        <v>Luisa Fernanda Benavides Castrillon</v>
      </c>
      <c r="AR170" s="59" t="s">
        <v>162</v>
      </c>
      <c r="AS170" s="55" t="str">
        <f>IFERROR(_xlfn.XLOOKUP(Tabla1[[#This Row],[Cedula agente]],Lista!$B$2:$B$97,Lista!$F$2:$F$97)," ")</f>
        <v>John Sebastian Roncancio Avendaño</v>
      </c>
      <c r="AT170" s="99">
        <v>0.95</v>
      </c>
      <c r="AU170" s="200">
        <f>+WEEKNUM('Score BD'!$H170)-WEEKNUM(DATE(YEAR('Score BD'!$H170),MONTH('Score BD'!$H170),1))+1</f>
        <v>3</v>
      </c>
    </row>
    <row r="171" spans="1:47" ht="17.45" customHeight="1" x14ac:dyDescent="0.3">
      <c r="A171" s="49" t="str">
        <f t="shared" si="22"/>
        <v>Ministerio de Educación Nacional</v>
      </c>
      <c r="B171" s="50">
        <f>+IFERROR(COUNTIF($J$3:J171,J171)," ")</f>
        <v>20</v>
      </c>
      <c r="C171" s="54" t="str">
        <f>+'Score BD'!$J171&amp;'Score BD'!$B171</f>
        <v>Ana Graciela Barbosa Villalobos20</v>
      </c>
      <c r="D171" s="91" t="s">
        <v>148</v>
      </c>
      <c r="E171" s="92" t="s">
        <v>210</v>
      </c>
      <c r="F171" s="92" t="s">
        <v>212</v>
      </c>
      <c r="G171" s="60" t="str">
        <f t="shared" si="23"/>
        <v>Noviembre</v>
      </c>
      <c r="H171" s="65">
        <v>45974</v>
      </c>
      <c r="I171" s="243">
        <v>45973</v>
      </c>
      <c r="J171" s="57" t="s">
        <v>171</v>
      </c>
      <c r="K171" s="54">
        <f>IFERROR(VLOOKUP('Score BD'!$J171,Lista!A:B,2,0)," ")</f>
        <v>1026264261</v>
      </c>
      <c r="L171" s="61" t="s">
        <v>420</v>
      </c>
      <c r="M171" s="59" t="s">
        <v>4</v>
      </c>
      <c r="N171" s="59" t="s">
        <v>4</v>
      </c>
      <c r="O171" s="59" t="s">
        <v>4</v>
      </c>
      <c r="P171" s="59" t="s">
        <v>4</v>
      </c>
      <c r="Q171" s="96">
        <f t="shared" si="24"/>
        <v>1</v>
      </c>
      <c r="R171" s="59" t="s">
        <v>4</v>
      </c>
      <c r="S171" s="59" t="s">
        <v>4</v>
      </c>
      <c r="T171" s="59" t="s">
        <v>4</v>
      </c>
      <c r="U171" s="59" t="s">
        <v>4</v>
      </c>
      <c r="V171" s="45">
        <f t="shared" si="25"/>
        <v>1</v>
      </c>
      <c r="W171" s="59" t="s">
        <v>4</v>
      </c>
      <c r="X171" s="59" t="s">
        <v>4</v>
      </c>
      <c r="Y171" s="59" t="s">
        <v>4</v>
      </c>
      <c r="Z171" s="59" t="s">
        <v>4</v>
      </c>
      <c r="AA171" s="59" t="s">
        <v>4</v>
      </c>
      <c r="AB171" s="59" t="s">
        <v>4</v>
      </c>
      <c r="AC171" s="45">
        <f t="shared" si="26"/>
        <v>1.000000000000002</v>
      </c>
      <c r="AD171" s="43" t="s">
        <v>4</v>
      </c>
      <c r="AE171" s="43" t="s">
        <v>4</v>
      </c>
      <c r="AF171" s="97">
        <f t="shared" si="27"/>
        <v>1</v>
      </c>
      <c r="AG171" s="44">
        <f t="shared" si="28"/>
        <v>1.0000000000000004</v>
      </c>
      <c r="AH171" s="55">
        <f t="shared" si="29"/>
        <v>0</v>
      </c>
      <c r="AI171" s="55">
        <f>COUNTIF('Score BD'!$M171:$P171,"no")</f>
        <v>0</v>
      </c>
      <c r="AJ171" s="55">
        <f t="shared" si="30"/>
        <v>0</v>
      </c>
      <c r="AK171" s="55">
        <f t="shared" si="31"/>
        <v>0</v>
      </c>
      <c r="AL171" s="55">
        <f t="shared" si="32"/>
        <v>0</v>
      </c>
      <c r="AM171" s="104" t="s">
        <v>582</v>
      </c>
      <c r="AN171" s="55"/>
      <c r="AO171" s="61"/>
      <c r="AP171" s="61"/>
      <c r="AQ171" s="59" t="str">
        <f>IFERROR(_xlfn.XLOOKUP(Tabla1[[#This Row],[Cedula agente]],Lista!$B$2:$B$97,Lista!$G$2:$G$97)," ")</f>
        <v>Luisa Fernanda Benavides Castrillon</v>
      </c>
      <c r="AR171" s="59" t="s">
        <v>162</v>
      </c>
      <c r="AS171" s="55" t="str">
        <f>IFERROR(_xlfn.XLOOKUP(Tabla1[[#This Row],[Cedula agente]],Lista!$B$2:$B$97,Lista!$F$2:$F$97)," ")</f>
        <v>John Sebastian Roncancio Avendaño</v>
      </c>
      <c r="AT171" s="99">
        <v>0.95</v>
      </c>
      <c r="AU171" s="200">
        <f>+WEEKNUM('Score BD'!$H171)-WEEKNUM(DATE(YEAR('Score BD'!$H171),MONTH('Score BD'!$H171),1))+1</f>
        <v>3</v>
      </c>
    </row>
    <row r="172" spans="1:47" ht="17.45" customHeight="1" x14ac:dyDescent="0.3">
      <c r="A172" s="49" t="str">
        <f t="shared" si="22"/>
        <v>Ministerio de Educación Nacional</v>
      </c>
      <c r="B172" s="50">
        <f>+IFERROR(COUNTIF($J$3:J172,J172)," ")</f>
        <v>21</v>
      </c>
      <c r="C172" s="54" t="str">
        <f>+'Score BD'!$J172&amp;'Score BD'!$B172</f>
        <v>Ana Graciela Barbosa Villalobos21</v>
      </c>
      <c r="D172" s="91" t="s">
        <v>148</v>
      </c>
      <c r="E172" s="92" t="s">
        <v>210</v>
      </c>
      <c r="F172" s="92" t="s">
        <v>212</v>
      </c>
      <c r="G172" s="60" t="str">
        <f t="shared" si="23"/>
        <v>Noviembre</v>
      </c>
      <c r="H172" s="65">
        <v>45974</v>
      </c>
      <c r="I172" s="243">
        <v>45973</v>
      </c>
      <c r="J172" s="57" t="s">
        <v>171</v>
      </c>
      <c r="K172" s="54">
        <f>IFERROR(VLOOKUP('Score BD'!$J172,Lista!A:B,2,0)," ")</f>
        <v>1026264261</v>
      </c>
      <c r="L172" s="61" t="s">
        <v>421</v>
      </c>
      <c r="M172" s="59" t="s">
        <v>4</v>
      </c>
      <c r="N172" s="59" t="s">
        <v>4</v>
      </c>
      <c r="O172" s="59" t="s">
        <v>4</v>
      </c>
      <c r="P172" s="59" t="s">
        <v>4</v>
      </c>
      <c r="Q172" s="96">
        <f t="shared" si="24"/>
        <v>1</v>
      </c>
      <c r="R172" s="59" t="s">
        <v>4</v>
      </c>
      <c r="S172" s="59" t="s">
        <v>4</v>
      </c>
      <c r="T172" s="59" t="s">
        <v>4</v>
      </c>
      <c r="U172" s="59" t="s">
        <v>4</v>
      </c>
      <c r="V172" s="45">
        <f t="shared" si="25"/>
        <v>1</v>
      </c>
      <c r="W172" s="59" t="s">
        <v>4</v>
      </c>
      <c r="X172" s="59" t="s">
        <v>4</v>
      </c>
      <c r="Y172" s="59" t="s">
        <v>4</v>
      </c>
      <c r="Z172" s="59" t="s">
        <v>4</v>
      </c>
      <c r="AA172" s="59" t="s">
        <v>4</v>
      </c>
      <c r="AB172" s="59" t="s">
        <v>4</v>
      </c>
      <c r="AC172" s="45">
        <f t="shared" si="26"/>
        <v>1.000000000000002</v>
      </c>
      <c r="AD172" s="43" t="s">
        <v>4</v>
      </c>
      <c r="AE172" s="43" t="s">
        <v>4</v>
      </c>
      <c r="AF172" s="97">
        <f t="shared" si="27"/>
        <v>1</v>
      </c>
      <c r="AG172" s="44">
        <f t="shared" si="28"/>
        <v>1.0000000000000004</v>
      </c>
      <c r="AH172" s="55">
        <f t="shared" si="29"/>
        <v>0</v>
      </c>
      <c r="AI172" s="55">
        <f>COUNTIF('Score BD'!$M172:$P172,"no")</f>
        <v>0</v>
      </c>
      <c r="AJ172" s="55">
        <f t="shared" si="30"/>
        <v>0</v>
      </c>
      <c r="AK172" s="55">
        <f t="shared" si="31"/>
        <v>0</v>
      </c>
      <c r="AL172" s="55">
        <f t="shared" si="32"/>
        <v>0</v>
      </c>
      <c r="AM172" s="104" t="s">
        <v>582</v>
      </c>
      <c r="AN172" s="55"/>
      <c r="AO172" s="61"/>
      <c r="AP172" s="61"/>
      <c r="AQ172" s="59" t="str">
        <f>IFERROR(_xlfn.XLOOKUP(Tabla1[[#This Row],[Cedula agente]],Lista!$B$2:$B$97,Lista!$G$2:$G$97)," ")</f>
        <v>Luisa Fernanda Benavides Castrillon</v>
      </c>
      <c r="AR172" s="59" t="s">
        <v>162</v>
      </c>
      <c r="AS172" s="55" t="str">
        <f>IFERROR(_xlfn.XLOOKUP(Tabla1[[#This Row],[Cedula agente]],Lista!$B$2:$B$97,Lista!$F$2:$F$97)," ")</f>
        <v>John Sebastian Roncancio Avendaño</v>
      </c>
      <c r="AT172" s="99">
        <v>0.95</v>
      </c>
      <c r="AU172" s="200">
        <f>+WEEKNUM('Score BD'!$H172)-WEEKNUM(DATE(YEAR('Score BD'!$H172),MONTH('Score BD'!$H172),1))+1</f>
        <v>3</v>
      </c>
    </row>
    <row r="173" spans="1:47" ht="17.45" customHeight="1" x14ac:dyDescent="0.3">
      <c r="A173" s="49" t="str">
        <f t="shared" si="22"/>
        <v>Ministerio de Educación Nacional</v>
      </c>
      <c r="B173" s="50">
        <f>+IFERROR(COUNTIF($J$3:J173,J173)," ")</f>
        <v>7</v>
      </c>
      <c r="C173" s="54" t="str">
        <f>+'Score BD'!$J173&amp;'Score BD'!$B173</f>
        <v>Cesar Rodrigo García7</v>
      </c>
      <c r="D173" s="91" t="s">
        <v>148</v>
      </c>
      <c r="E173" s="92" t="s">
        <v>165</v>
      </c>
      <c r="F173" s="92" t="s">
        <v>212</v>
      </c>
      <c r="G173" s="60" t="str">
        <f t="shared" si="23"/>
        <v>Noviembre</v>
      </c>
      <c r="H173" s="65">
        <v>45974</v>
      </c>
      <c r="I173" s="243">
        <v>45973</v>
      </c>
      <c r="J173" s="57" t="s">
        <v>172</v>
      </c>
      <c r="K173" s="54">
        <f>IFERROR(VLOOKUP('Score BD'!$J173,Lista!A:B,2,0)," ")</f>
        <v>1069257937</v>
      </c>
      <c r="L173" s="61" t="s">
        <v>422</v>
      </c>
      <c r="M173" s="59" t="s">
        <v>4</v>
      </c>
      <c r="N173" s="59" t="s">
        <v>4</v>
      </c>
      <c r="O173" s="59" t="s">
        <v>4</v>
      </c>
      <c r="P173" s="59" t="s">
        <v>4</v>
      </c>
      <c r="Q173" s="96">
        <f t="shared" si="24"/>
        <v>1</v>
      </c>
      <c r="R173" s="59" t="s">
        <v>4</v>
      </c>
      <c r="S173" s="59" t="s">
        <v>4</v>
      </c>
      <c r="T173" s="59" t="s">
        <v>4</v>
      </c>
      <c r="U173" s="59" t="s">
        <v>4</v>
      </c>
      <c r="V173" s="45">
        <f t="shared" si="25"/>
        <v>1</v>
      </c>
      <c r="W173" s="59" t="s">
        <v>4</v>
      </c>
      <c r="X173" s="59" t="s">
        <v>4</v>
      </c>
      <c r="Y173" s="59" t="s">
        <v>4</v>
      </c>
      <c r="Z173" s="59" t="s">
        <v>4</v>
      </c>
      <c r="AA173" s="59" t="s">
        <v>4</v>
      </c>
      <c r="AB173" s="59" t="s">
        <v>4</v>
      </c>
      <c r="AC173" s="45">
        <f t="shared" si="26"/>
        <v>1.000000000000002</v>
      </c>
      <c r="AD173" s="43" t="s">
        <v>4</v>
      </c>
      <c r="AE173" s="43" t="s">
        <v>4</v>
      </c>
      <c r="AF173" s="97">
        <f t="shared" si="27"/>
        <v>1</v>
      </c>
      <c r="AG173" s="44">
        <f t="shared" si="28"/>
        <v>1.0000000000000004</v>
      </c>
      <c r="AH173" s="55">
        <f t="shared" si="29"/>
        <v>0</v>
      </c>
      <c r="AI173" s="55">
        <f>COUNTIF('Score BD'!$M173:$P173,"no")</f>
        <v>0</v>
      </c>
      <c r="AJ173" s="55">
        <f t="shared" si="30"/>
        <v>0</v>
      </c>
      <c r="AK173" s="55">
        <f t="shared" si="31"/>
        <v>0</v>
      </c>
      <c r="AL173" s="55">
        <f t="shared" si="32"/>
        <v>0</v>
      </c>
      <c r="AM173" s="104" t="s">
        <v>582</v>
      </c>
      <c r="AN173" s="55"/>
      <c r="AO173" s="61"/>
      <c r="AP173" s="61"/>
      <c r="AQ173" s="59" t="str">
        <f>IFERROR(_xlfn.XLOOKUP(Tabla1[[#This Row],[Cedula agente]],Lista!$B$2:$B$97,Lista!$G$2:$G$97)," ")</f>
        <v>Luisa Fernanda Benavides Castrillon</v>
      </c>
      <c r="AR173" s="59" t="s">
        <v>162</v>
      </c>
      <c r="AS173" s="55" t="str">
        <f>IFERROR(_xlfn.XLOOKUP(Tabla1[[#This Row],[Cedula agente]],Lista!$B$2:$B$97,Lista!$F$2:$F$97)," ")</f>
        <v>John Sebastian Roncancio Avendaño</v>
      </c>
      <c r="AT173" s="99">
        <v>0.95</v>
      </c>
      <c r="AU173" s="200">
        <f>+WEEKNUM('Score BD'!$H173)-WEEKNUM(DATE(YEAR('Score BD'!$H173),MONTH('Score BD'!$H173),1))+1</f>
        <v>3</v>
      </c>
    </row>
    <row r="174" spans="1:47" ht="17.45" customHeight="1" x14ac:dyDescent="0.3">
      <c r="A174" s="49" t="str">
        <f t="shared" si="22"/>
        <v>Ministerio de Educación Nacional</v>
      </c>
      <c r="B174" s="50">
        <f>+IFERROR(COUNTIF($J$3:J174,J174)," ")</f>
        <v>7</v>
      </c>
      <c r="C174" s="54" t="str">
        <f>+'Score BD'!$J174&amp;'Score BD'!$B174</f>
        <v>Cristian Enrique Benitez Rodriguez7</v>
      </c>
      <c r="D174" s="91" t="s">
        <v>148</v>
      </c>
      <c r="E174" s="92" t="s">
        <v>165</v>
      </c>
      <c r="F174" s="92" t="s">
        <v>212</v>
      </c>
      <c r="G174" s="60" t="str">
        <f t="shared" si="23"/>
        <v>Noviembre</v>
      </c>
      <c r="H174" s="65">
        <v>45974</v>
      </c>
      <c r="I174" s="243">
        <v>45973</v>
      </c>
      <c r="J174" s="57" t="s">
        <v>173</v>
      </c>
      <c r="K174" s="54">
        <f>IFERROR(VLOOKUP('Score BD'!$J174,Lista!A:B,2,0)," ")</f>
        <v>1026574814</v>
      </c>
      <c r="L174" s="61" t="s">
        <v>423</v>
      </c>
      <c r="M174" s="59" t="s">
        <v>4</v>
      </c>
      <c r="N174" s="59" t="s">
        <v>4</v>
      </c>
      <c r="O174" s="59" t="s">
        <v>4</v>
      </c>
      <c r="P174" s="59" t="s">
        <v>4</v>
      </c>
      <c r="Q174" s="96">
        <f t="shared" si="24"/>
        <v>1</v>
      </c>
      <c r="R174" s="59" t="s">
        <v>4</v>
      </c>
      <c r="S174" s="59" t="s">
        <v>4</v>
      </c>
      <c r="T174" s="59" t="s">
        <v>4</v>
      </c>
      <c r="U174" s="59" t="s">
        <v>4</v>
      </c>
      <c r="V174" s="45">
        <f t="shared" si="25"/>
        <v>1</v>
      </c>
      <c r="W174" s="59" t="s">
        <v>4</v>
      </c>
      <c r="X174" s="59" t="s">
        <v>4</v>
      </c>
      <c r="Y174" s="59" t="s">
        <v>4</v>
      </c>
      <c r="Z174" s="59" t="s">
        <v>4</v>
      </c>
      <c r="AA174" s="59" t="s">
        <v>4</v>
      </c>
      <c r="AB174" s="59" t="s">
        <v>4</v>
      </c>
      <c r="AC174" s="45">
        <f t="shared" si="26"/>
        <v>1.000000000000002</v>
      </c>
      <c r="AD174" s="43" t="s">
        <v>4</v>
      </c>
      <c r="AE174" s="43" t="s">
        <v>4</v>
      </c>
      <c r="AF174" s="97">
        <f t="shared" si="27"/>
        <v>1</v>
      </c>
      <c r="AG174" s="44">
        <f t="shared" si="28"/>
        <v>1.0000000000000004</v>
      </c>
      <c r="AH174" s="55">
        <f t="shared" si="29"/>
        <v>0</v>
      </c>
      <c r="AI174" s="55">
        <f>COUNTIF('Score BD'!$M174:$P174,"no")</f>
        <v>0</v>
      </c>
      <c r="AJ174" s="55">
        <f t="shared" si="30"/>
        <v>0</v>
      </c>
      <c r="AK174" s="55">
        <f t="shared" si="31"/>
        <v>0</v>
      </c>
      <c r="AL174" s="55">
        <f t="shared" si="32"/>
        <v>0</v>
      </c>
      <c r="AM174" s="104" t="s">
        <v>582</v>
      </c>
      <c r="AN174" s="55"/>
      <c r="AO174" s="61"/>
      <c r="AP174" s="61"/>
      <c r="AQ174" s="59" t="str">
        <f>IFERROR(_xlfn.XLOOKUP(Tabla1[[#This Row],[Cedula agente]],Lista!$B$2:$B$97,Lista!$G$2:$G$97)," ")</f>
        <v>Luisa Fernanda Benavides Castrillon</v>
      </c>
      <c r="AR174" s="59" t="s">
        <v>162</v>
      </c>
      <c r="AS174" s="55" t="str">
        <f>IFERROR(_xlfn.XLOOKUP(Tabla1[[#This Row],[Cedula agente]],Lista!$B$2:$B$97,Lista!$F$2:$F$97)," ")</f>
        <v>John Sebastian Roncancio Avendaño</v>
      </c>
      <c r="AT174" s="99">
        <v>0.95</v>
      </c>
      <c r="AU174" s="200">
        <f>+WEEKNUM('Score BD'!$H174)-WEEKNUM(DATE(YEAR('Score BD'!$H174),MONTH('Score BD'!$H174),1))+1</f>
        <v>3</v>
      </c>
    </row>
    <row r="175" spans="1:47" ht="17.45" customHeight="1" x14ac:dyDescent="0.3">
      <c r="A175" s="49" t="str">
        <f t="shared" si="22"/>
        <v>Ministerio de Educación Nacional</v>
      </c>
      <c r="B175" s="50">
        <f>+IFERROR(COUNTIF($J$3:J175,J175)," ")</f>
        <v>4</v>
      </c>
      <c r="C175" s="54" t="str">
        <f>+'Score BD'!$J175&amp;'Score BD'!$B175</f>
        <v>Daniela Murillo Solano4</v>
      </c>
      <c r="D175" s="91" t="s">
        <v>148</v>
      </c>
      <c r="E175" s="92" t="s">
        <v>211</v>
      </c>
      <c r="F175" s="92" t="s">
        <v>212</v>
      </c>
      <c r="G175" s="60" t="str">
        <f t="shared" si="23"/>
        <v>Noviembre</v>
      </c>
      <c r="H175" s="65">
        <v>45974</v>
      </c>
      <c r="I175" s="243">
        <v>45973</v>
      </c>
      <c r="J175" s="57" t="s">
        <v>203</v>
      </c>
      <c r="K175" s="54">
        <f>IFERROR(VLOOKUP('Score BD'!$J175,Lista!A:B,2,0)," ")</f>
        <v>1234194276</v>
      </c>
      <c r="L175" s="61" t="s">
        <v>424</v>
      </c>
      <c r="M175" s="59" t="s">
        <v>4</v>
      </c>
      <c r="N175" s="59" t="s">
        <v>4</v>
      </c>
      <c r="O175" s="59" t="s">
        <v>4</v>
      </c>
      <c r="P175" s="59" t="s">
        <v>4</v>
      </c>
      <c r="Q175" s="96">
        <f t="shared" si="24"/>
        <v>1</v>
      </c>
      <c r="R175" s="59" t="s">
        <v>4</v>
      </c>
      <c r="S175" s="59" t="s">
        <v>4</v>
      </c>
      <c r="T175" s="59" t="s">
        <v>4</v>
      </c>
      <c r="U175" s="59" t="s">
        <v>4</v>
      </c>
      <c r="V175" s="45">
        <f t="shared" si="25"/>
        <v>1</v>
      </c>
      <c r="W175" s="59" t="s">
        <v>4</v>
      </c>
      <c r="X175" s="59" t="s">
        <v>4</v>
      </c>
      <c r="Y175" s="59" t="s">
        <v>4</v>
      </c>
      <c r="Z175" s="59" t="s">
        <v>4</v>
      </c>
      <c r="AA175" s="59" t="s">
        <v>4</v>
      </c>
      <c r="AB175" s="59" t="s">
        <v>4</v>
      </c>
      <c r="AC175" s="45">
        <f t="shared" si="26"/>
        <v>1.000000000000002</v>
      </c>
      <c r="AD175" s="43" t="s">
        <v>4</v>
      </c>
      <c r="AE175" s="43" t="s">
        <v>4</v>
      </c>
      <c r="AF175" s="97">
        <f t="shared" si="27"/>
        <v>1</v>
      </c>
      <c r="AG175" s="44">
        <f t="shared" si="28"/>
        <v>1.0000000000000004</v>
      </c>
      <c r="AH175" s="55">
        <f t="shared" si="29"/>
        <v>0</v>
      </c>
      <c r="AI175" s="55">
        <f>COUNTIF('Score BD'!$M175:$P175,"no")</f>
        <v>0</v>
      </c>
      <c r="AJ175" s="55">
        <f t="shared" si="30"/>
        <v>0</v>
      </c>
      <c r="AK175" s="55">
        <f t="shared" si="31"/>
        <v>0</v>
      </c>
      <c r="AL175" s="55">
        <f t="shared" si="32"/>
        <v>0</v>
      </c>
      <c r="AM175" s="104" t="s">
        <v>582</v>
      </c>
      <c r="AN175" s="55"/>
      <c r="AO175" s="61"/>
      <c r="AP175" s="61"/>
      <c r="AQ175" s="59" t="str">
        <f>IFERROR(_xlfn.XLOOKUP(Tabla1[[#This Row],[Cedula agente]],Lista!$B$2:$B$97,Lista!$G$2:$G$97)," ")</f>
        <v>Luisa Fernanda Benavides Castrillon</v>
      </c>
      <c r="AR175" s="59" t="s">
        <v>162</v>
      </c>
      <c r="AS175" s="55" t="str">
        <f>IFERROR(_xlfn.XLOOKUP(Tabla1[[#This Row],[Cedula agente]],Lista!$B$2:$B$97,Lista!$F$2:$F$97)," ")</f>
        <v>John Sebastian Roncancio Avendaño</v>
      </c>
      <c r="AT175" s="99">
        <v>0.95</v>
      </c>
      <c r="AU175" s="200">
        <f>+WEEKNUM('Score BD'!$H175)-WEEKNUM(DATE(YEAR('Score BD'!$H175),MONTH('Score BD'!$H175),1))+1</f>
        <v>3</v>
      </c>
    </row>
    <row r="176" spans="1:47" ht="17.45" customHeight="1" x14ac:dyDescent="0.3">
      <c r="A176" s="49" t="str">
        <f t="shared" si="22"/>
        <v>Ministerio de Educación Nacional</v>
      </c>
      <c r="B176" s="50">
        <f>+IFERROR(COUNTIF($J$3:J176,J176)," ")</f>
        <v>19</v>
      </c>
      <c r="C176" s="54" t="str">
        <f>+'Score BD'!$J176&amp;'Score BD'!$B176</f>
        <v>Erika Natalia Ramírez Herrera19</v>
      </c>
      <c r="D176" s="91" t="s">
        <v>148</v>
      </c>
      <c r="E176" s="92" t="s">
        <v>164</v>
      </c>
      <c r="F176" s="92" t="s">
        <v>212</v>
      </c>
      <c r="G176" s="60" t="str">
        <f t="shared" si="23"/>
        <v>Noviembre</v>
      </c>
      <c r="H176" s="65">
        <v>45974</v>
      </c>
      <c r="I176" s="243">
        <v>45973</v>
      </c>
      <c r="J176" s="57" t="s">
        <v>174</v>
      </c>
      <c r="K176" s="54">
        <f>IFERROR(VLOOKUP('Score BD'!$J176,Lista!A:B,2,0)," ")</f>
        <v>1032367072</v>
      </c>
      <c r="L176" s="61" t="s">
        <v>425</v>
      </c>
      <c r="M176" s="59" t="s">
        <v>4</v>
      </c>
      <c r="N176" s="59" t="s">
        <v>4</v>
      </c>
      <c r="O176" s="59" t="s">
        <v>4</v>
      </c>
      <c r="P176" s="59" t="s">
        <v>4</v>
      </c>
      <c r="Q176" s="96">
        <f t="shared" si="24"/>
        <v>1</v>
      </c>
      <c r="R176" s="59" t="s">
        <v>4</v>
      </c>
      <c r="S176" s="59" t="s">
        <v>4</v>
      </c>
      <c r="T176" s="59" t="s">
        <v>4</v>
      </c>
      <c r="U176" s="59" t="s">
        <v>4</v>
      </c>
      <c r="V176" s="45">
        <f t="shared" si="25"/>
        <v>1</v>
      </c>
      <c r="W176" s="59" t="s">
        <v>4</v>
      </c>
      <c r="X176" s="59" t="s">
        <v>4</v>
      </c>
      <c r="Y176" s="59" t="s">
        <v>4</v>
      </c>
      <c r="Z176" s="59" t="s">
        <v>4</v>
      </c>
      <c r="AA176" s="59" t="s">
        <v>4</v>
      </c>
      <c r="AB176" s="59" t="s">
        <v>4</v>
      </c>
      <c r="AC176" s="45">
        <f t="shared" si="26"/>
        <v>1.000000000000002</v>
      </c>
      <c r="AD176" s="43" t="s">
        <v>4</v>
      </c>
      <c r="AE176" s="43" t="s">
        <v>4</v>
      </c>
      <c r="AF176" s="97">
        <f t="shared" si="27"/>
        <v>1</v>
      </c>
      <c r="AG176" s="44">
        <f t="shared" si="28"/>
        <v>1.0000000000000004</v>
      </c>
      <c r="AH176" s="55">
        <f t="shared" si="29"/>
        <v>0</v>
      </c>
      <c r="AI176" s="55">
        <f>COUNTIF('Score BD'!$M176:$P176,"no")</f>
        <v>0</v>
      </c>
      <c r="AJ176" s="55">
        <f t="shared" si="30"/>
        <v>0</v>
      </c>
      <c r="AK176" s="55">
        <f t="shared" si="31"/>
        <v>0</v>
      </c>
      <c r="AL176" s="55">
        <f t="shared" si="32"/>
        <v>0</v>
      </c>
      <c r="AM176" s="104" t="s">
        <v>582</v>
      </c>
      <c r="AN176" s="55"/>
      <c r="AO176" s="61"/>
      <c r="AP176" s="61"/>
      <c r="AQ176" s="59" t="str">
        <f>IFERROR(_xlfn.XLOOKUP(Tabla1[[#This Row],[Cedula agente]],Lista!$B$2:$B$97,Lista!$G$2:$G$97)," ")</f>
        <v>Luisa Fernanda Benavides Castrillon</v>
      </c>
      <c r="AR176" s="59" t="s">
        <v>162</v>
      </c>
      <c r="AS176" s="55" t="str">
        <f>IFERROR(_xlfn.XLOOKUP(Tabla1[[#This Row],[Cedula agente]],Lista!$B$2:$B$97,Lista!$F$2:$F$97)," ")</f>
        <v>John Sebastian Roncancio Avendaño</v>
      </c>
      <c r="AT176" s="99">
        <v>0.95</v>
      </c>
      <c r="AU176" s="200">
        <f>+WEEKNUM('Score BD'!$H176)-WEEKNUM(DATE(YEAR('Score BD'!$H176),MONTH('Score BD'!$H176),1))+1</f>
        <v>3</v>
      </c>
    </row>
    <row r="177" spans="1:47" ht="17.45" customHeight="1" x14ac:dyDescent="0.3">
      <c r="A177" s="49" t="str">
        <f t="shared" si="22"/>
        <v>Ministerio de Educación Nacional</v>
      </c>
      <c r="B177" s="50">
        <f>+IFERROR(COUNTIF($J$3:J177,J177)," ")</f>
        <v>20</v>
      </c>
      <c r="C177" s="54" t="str">
        <f>+'Score BD'!$J177&amp;'Score BD'!$B177</f>
        <v>Erika Natalia Ramírez Herrera20</v>
      </c>
      <c r="D177" s="91" t="s">
        <v>148</v>
      </c>
      <c r="E177" s="92" t="s">
        <v>164</v>
      </c>
      <c r="F177" s="92" t="s">
        <v>212</v>
      </c>
      <c r="G177" s="60" t="str">
        <f t="shared" si="23"/>
        <v>Noviembre</v>
      </c>
      <c r="H177" s="65">
        <v>45974</v>
      </c>
      <c r="I177" s="243">
        <v>45973</v>
      </c>
      <c r="J177" s="57" t="s">
        <v>174</v>
      </c>
      <c r="K177" s="54">
        <f>IFERROR(VLOOKUP('Score BD'!$J177,Lista!A:B,2,0)," ")</f>
        <v>1032367072</v>
      </c>
      <c r="L177" s="61" t="s">
        <v>426</v>
      </c>
      <c r="M177" s="59" t="s">
        <v>4</v>
      </c>
      <c r="N177" s="59" t="s">
        <v>4</v>
      </c>
      <c r="O177" s="59" t="s">
        <v>4</v>
      </c>
      <c r="P177" s="59" t="s">
        <v>4</v>
      </c>
      <c r="Q177" s="96">
        <f t="shared" si="24"/>
        <v>1</v>
      </c>
      <c r="R177" s="59" t="s">
        <v>4</v>
      </c>
      <c r="S177" s="59" t="s">
        <v>4</v>
      </c>
      <c r="T177" s="59" t="s">
        <v>4</v>
      </c>
      <c r="U177" s="59" t="s">
        <v>4</v>
      </c>
      <c r="V177" s="45">
        <f t="shared" si="25"/>
        <v>1</v>
      </c>
      <c r="W177" s="59" t="s">
        <v>4</v>
      </c>
      <c r="X177" s="59" t="s">
        <v>4</v>
      </c>
      <c r="Y177" s="59" t="s">
        <v>4</v>
      </c>
      <c r="Z177" s="59" t="s">
        <v>4</v>
      </c>
      <c r="AA177" s="59" t="s">
        <v>4</v>
      </c>
      <c r="AB177" s="59" t="s">
        <v>4</v>
      </c>
      <c r="AC177" s="45">
        <f t="shared" si="26"/>
        <v>1.000000000000002</v>
      </c>
      <c r="AD177" s="43" t="s">
        <v>4</v>
      </c>
      <c r="AE177" s="43" t="s">
        <v>4</v>
      </c>
      <c r="AF177" s="97">
        <f t="shared" si="27"/>
        <v>1</v>
      </c>
      <c r="AG177" s="44">
        <f t="shared" si="28"/>
        <v>1.0000000000000004</v>
      </c>
      <c r="AH177" s="55">
        <f t="shared" si="29"/>
        <v>0</v>
      </c>
      <c r="AI177" s="55">
        <f>COUNTIF('Score BD'!$M177:$P177,"no")</f>
        <v>0</v>
      </c>
      <c r="AJ177" s="55">
        <f t="shared" si="30"/>
        <v>0</v>
      </c>
      <c r="AK177" s="55">
        <f t="shared" si="31"/>
        <v>0</v>
      </c>
      <c r="AL177" s="55">
        <f t="shared" si="32"/>
        <v>0</v>
      </c>
      <c r="AM177" s="104" t="s">
        <v>582</v>
      </c>
      <c r="AN177" s="55"/>
      <c r="AO177" s="61"/>
      <c r="AP177" s="61"/>
      <c r="AQ177" s="59" t="str">
        <f>IFERROR(_xlfn.XLOOKUP(Tabla1[[#This Row],[Cedula agente]],Lista!$B$2:$B$97,Lista!$G$2:$G$97)," ")</f>
        <v>Luisa Fernanda Benavides Castrillon</v>
      </c>
      <c r="AR177" s="59" t="s">
        <v>162</v>
      </c>
      <c r="AS177" s="55" t="str">
        <f>IFERROR(_xlfn.XLOOKUP(Tabla1[[#This Row],[Cedula agente]],Lista!$B$2:$B$97,Lista!$F$2:$F$97)," ")</f>
        <v>John Sebastian Roncancio Avendaño</v>
      </c>
      <c r="AT177" s="99">
        <v>0.95</v>
      </c>
      <c r="AU177" s="200">
        <f>+WEEKNUM('Score BD'!$H177)-WEEKNUM(DATE(YEAR('Score BD'!$H177),MONTH('Score BD'!$H177),1))+1</f>
        <v>3</v>
      </c>
    </row>
    <row r="178" spans="1:47" ht="17.45" customHeight="1" x14ac:dyDescent="0.3">
      <c r="A178" s="49" t="str">
        <f t="shared" si="22"/>
        <v>Ministerio de Educación Nacional</v>
      </c>
      <c r="B178" s="50">
        <f>+IFERROR(COUNTIF($J$3:J178,J178)," ")</f>
        <v>21</v>
      </c>
      <c r="C178" s="54" t="str">
        <f>+'Score BD'!$J178&amp;'Score BD'!$B178</f>
        <v>Erika Natalia Ramírez Herrera21</v>
      </c>
      <c r="D178" s="91" t="s">
        <v>148</v>
      </c>
      <c r="E178" s="92" t="s">
        <v>164</v>
      </c>
      <c r="F178" s="92" t="s">
        <v>212</v>
      </c>
      <c r="G178" s="60" t="str">
        <f t="shared" si="23"/>
        <v>Noviembre</v>
      </c>
      <c r="H178" s="65">
        <v>45974</v>
      </c>
      <c r="I178" s="243">
        <v>45973</v>
      </c>
      <c r="J178" s="57" t="s">
        <v>174</v>
      </c>
      <c r="K178" s="54">
        <f>IFERROR(VLOOKUP('Score BD'!$J178,Lista!A:B,2,0)," ")</f>
        <v>1032367072</v>
      </c>
      <c r="L178" s="61" t="s">
        <v>427</v>
      </c>
      <c r="M178" s="59" t="s">
        <v>4</v>
      </c>
      <c r="N178" s="59" t="s">
        <v>4</v>
      </c>
      <c r="O178" s="59" t="s">
        <v>4</v>
      </c>
      <c r="P178" s="59" t="s">
        <v>4</v>
      </c>
      <c r="Q178" s="96">
        <f t="shared" si="24"/>
        <v>1</v>
      </c>
      <c r="R178" s="59" t="s">
        <v>4</v>
      </c>
      <c r="S178" s="59" t="s">
        <v>4</v>
      </c>
      <c r="T178" s="59" t="s">
        <v>4</v>
      </c>
      <c r="U178" s="59" t="s">
        <v>4</v>
      </c>
      <c r="V178" s="45">
        <f t="shared" si="25"/>
        <v>1</v>
      </c>
      <c r="W178" s="59" t="s">
        <v>4</v>
      </c>
      <c r="X178" s="59" t="s">
        <v>4</v>
      </c>
      <c r="Y178" s="59" t="s">
        <v>4</v>
      </c>
      <c r="Z178" s="59" t="s">
        <v>4</v>
      </c>
      <c r="AA178" s="59" t="s">
        <v>4</v>
      </c>
      <c r="AB178" s="59" t="s">
        <v>4</v>
      </c>
      <c r="AC178" s="45">
        <f t="shared" si="26"/>
        <v>1.000000000000002</v>
      </c>
      <c r="AD178" s="43" t="s">
        <v>4</v>
      </c>
      <c r="AE178" s="43" t="s">
        <v>4</v>
      </c>
      <c r="AF178" s="97">
        <f t="shared" si="27"/>
        <v>1</v>
      </c>
      <c r="AG178" s="44">
        <f t="shared" si="28"/>
        <v>1.0000000000000004</v>
      </c>
      <c r="AH178" s="55">
        <f t="shared" si="29"/>
        <v>0</v>
      </c>
      <c r="AI178" s="55">
        <f>COUNTIF('Score BD'!$M178:$P178,"no")</f>
        <v>0</v>
      </c>
      <c r="AJ178" s="55">
        <f t="shared" si="30"/>
        <v>0</v>
      </c>
      <c r="AK178" s="55">
        <f t="shared" si="31"/>
        <v>0</v>
      </c>
      <c r="AL178" s="55">
        <f t="shared" si="32"/>
        <v>0</v>
      </c>
      <c r="AM178" s="104" t="s">
        <v>582</v>
      </c>
      <c r="AN178" s="55"/>
      <c r="AO178" s="61"/>
      <c r="AP178" s="61"/>
      <c r="AQ178" s="59" t="str">
        <f>IFERROR(_xlfn.XLOOKUP(Tabla1[[#This Row],[Cedula agente]],Lista!$B$2:$B$97,Lista!$G$2:$G$97)," ")</f>
        <v>Luisa Fernanda Benavides Castrillon</v>
      </c>
      <c r="AR178" s="59" t="s">
        <v>162</v>
      </c>
      <c r="AS178" s="55" t="str">
        <f>IFERROR(_xlfn.XLOOKUP(Tabla1[[#This Row],[Cedula agente]],Lista!$B$2:$B$97,Lista!$F$2:$F$97)," ")</f>
        <v>John Sebastian Roncancio Avendaño</v>
      </c>
      <c r="AT178" s="99">
        <v>0.95</v>
      </c>
      <c r="AU178" s="200">
        <f>+WEEKNUM('Score BD'!$H178)-WEEKNUM(DATE(YEAR('Score BD'!$H178),MONTH('Score BD'!$H178),1))+1</f>
        <v>3</v>
      </c>
    </row>
    <row r="179" spans="1:47" ht="17.45" customHeight="1" x14ac:dyDescent="0.3">
      <c r="A179" s="49" t="str">
        <f t="shared" si="22"/>
        <v>Ministerio de Educación Nacional</v>
      </c>
      <c r="B179" s="50">
        <f>+IFERROR(COUNTIF($J$3:J179,J179)," ")</f>
        <v>8</v>
      </c>
      <c r="C179" s="54" t="str">
        <f>+'Score BD'!$J179&amp;'Score BD'!$B179</f>
        <v>Henry Eduardo Padilla Castilla8</v>
      </c>
      <c r="D179" s="91" t="s">
        <v>148</v>
      </c>
      <c r="E179" s="92" t="s">
        <v>165</v>
      </c>
      <c r="F179" s="92" t="s">
        <v>212</v>
      </c>
      <c r="G179" s="60" t="str">
        <f t="shared" si="23"/>
        <v>Noviembre</v>
      </c>
      <c r="H179" s="65">
        <v>45974</v>
      </c>
      <c r="I179" s="243">
        <v>45973</v>
      </c>
      <c r="J179" s="57" t="s">
        <v>175</v>
      </c>
      <c r="K179" s="54">
        <f>IFERROR(VLOOKUP('Score BD'!$J179,Lista!A:B,2,0)," ")</f>
        <v>1063968280</v>
      </c>
      <c r="L179" s="61" t="s">
        <v>428</v>
      </c>
      <c r="M179" s="59" t="s">
        <v>4</v>
      </c>
      <c r="N179" s="59" t="s">
        <v>4</v>
      </c>
      <c r="O179" s="59" t="s">
        <v>4</v>
      </c>
      <c r="P179" s="59" t="s">
        <v>4</v>
      </c>
      <c r="Q179" s="96">
        <f t="shared" si="24"/>
        <v>1</v>
      </c>
      <c r="R179" s="59" t="s">
        <v>4</v>
      </c>
      <c r="S179" s="59" t="s">
        <v>4</v>
      </c>
      <c r="T179" s="59" t="s">
        <v>4</v>
      </c>
      <c r="U179" s="59" t="s">
        <v>4</v>
      </c>
      <c r="V179" s="45">
        <f t="shared" si="25"/>
        <v>1</v>
      </c>
      <c r="W179" s="59" t="s">
        <v>4</v>
      </c>
      <c r="X179" s="59" t="s">
        <v>4</v>
      </c>
      <c r="Y179" s="59" t="s">
        <v>4</v>
      </c>
      <c r="Z179" s="59" t="s">
        <v>4</v>
      </c>
      <c r="AA179" s="59" t="s">
        <v>4</v>
      </c>
      <c r="AB179" s="59" t="s">
        <v>4</v>
      </c>
      <c r="AC179" s="45">
        <f t="shared" si="26"/>
        <v>1.000000000000002</v>
      </c>
      <c r="AD179" s="43" t="s">
        <v>4</v>
      </c>
      <c r="AE179" s="43" t="s">
        <v>4</v>
      </c>
      <c r="AF179" s="97">
        <f t="shared" si="27"/>
        <v>1</v>
      </c>
      <c r="AG179" s="44">
        <f t="shared" si="28"/>
        <v>1.0000000000000004</v>
      </c>
      <c r="AH179" s="55">
        <f t="shared" si="29"/>
        <v>0</v>
      </c>
      <c r="AI179" s="55">
        <f>COUNTIF('Score BD'!$M179:$P179,"no")</f>
        <v>0</v>
      </c>
      <c r="AJ179" s="55">
        <f t="shared" si="30"/>
        <v>0</v>
      </c>
      <c r="AK179" s="55">
        <f t="shared" si="31"/>
        <v>0</v>
      </c>
      <c r="AL179" s="55">
        <f t="shared" si="32"/>
        <v>0</v>
      </c>
      <c r="AM179" s="104" t="s">
        <v>582</v>
      </c>
      <c r="AN179" s="55"/>
      <c r="AO179" s="61"/>
      <c r="AP179" s="61"/>
      <c r="AQ179" s="59" t="str">
        <f>IFERROR(_xlfn.XLOOKUP(Tabla1[[#This Row],[Cedula agente]],Lista!$B$2:$B$97,Lista!$G$2:$G$97)," ")</f>
        <v>Luisa Fernanda Benavides Castrillon</v>
      </c>
      <c r="AR179" s="59" t="s">
        <v>162</v>
      </c>
      <c r="AS179" s="55" t="str">
        <f>IFERROR(_xlfn.XLOOKUP(Tabla1[[#This Row],[Cedula agente]],Lista!$B$2:$B$97,Lista!$F$2:$F$97)," ")</f>
        <v>John Sebastian Roncancio Avendaño</v>
      </c>
      <c r="AT179" s="99">
        <v>0.95</v>
      </c>
      <c r="AU179" s="200">
        <f>+WEEKNUM('Score BD'!$H179)-WEEKNUM(DATE(YEAR('Score BD'!$H179),MONTH('Score BD'!$H179),1))+1</f>
        <v>3</v>
      </c>
    </row>
    <row r="180" spans="1:47" ht="17.45" customHeight="1" x14ac:dyDescent="0.3">
      <c r="A180" s="49" t="str">
        <f t="shared" si="22"/>
        <v>Ministerio de Educación Nacional</v>
      </c>
      <c r="B180" s="50">
        <f>+IFERROR(COUNTIF($J$3:J180,J180)," ")</f>
        <v>13</v>
      </c>
      <c r="C180" s="54" t="str">
        <f>+'Score BD'!$J180&amp;'Score BD'!$B180</f>
        <v>Ingrid Carolina Monsalve Quintero13</v>
      </c>
      <c r="D180" s="91" t="s">
        <v>148</v>
      </c>
      <c r="E180" s="92" t="s">
        <v>164</v>
      </c>
      <c r="F180" s="92" t="s">
        <v>212</v>
      </c>
      <c r="G180" s="60" t="str">
        <f t="shared" si="23"/>
        <v>Noviembre</v>
      </c>
      <c r="H180" s="65">
        <v>45974</v>
      </c>
      <c r="I180" s="243">
        <v>45973</v>
      </c>
      <c r="J180" s="57" t="s">
        <v>176</v>
      </c>
      <c r="K180" s="54">
        <f>IFERROR(VLOOKUP('Score BD'!$J180,Lista!A:B,2,0)," ")</f>
        <v>52805909</v>
      </c>
      <c r="L180" s="61" t="s">
        <v>429</v>
      </c>
      <c r="M180" s="59" t="s">
        <v>4</v>
      </c>
      <c r="N180" s="59" t="s">
        <v>4</v>
      </c>
      <c r="O180" s="59" t="s">
        <v>4</v>
      </c>
      <c r="P180" s="59" t="s">
        <v>4</v>
      </c>
      <c r="Q180" s="96">
        <f t="shared" si="24"/>
        <v>1</v>
      </c>
      <c r="R180" s="59" t="s">
        <v>4</v>
      </c>
      <c r="S180" s="59" t="s">
        <v>4</v>
      </c>
      <c r="T180" s="59" t="s">
        <v>4</v>
      </c>
      <c r="U180" s="59" t="s">
        <v>4</v>
      </c>
      <c r="V180" s="45">
        <f t="shared" si="25"/>
        <v>1</v>
      </c>
      <c r="W180" s="59" t="s">
        <v>4</v>
      </c>
      <c r="X180" s="59" t="s">
        <v>4</v>
      </c>
      <c r="Y180" s="59" t="s">
        <v>4</v>
      </c>
      <c r="Z180" s="59" t="s">
        <v>4</v>
      </c>
      <c r="AA180" s="59" t="s">
        <v>4</v>
      </c>
      <c r="AB180" s="59" t="s">
        <v>4</v>
      </c>
      <c r="AC180" s="45">
        <f t="shared" si="26"/>
        <v>1.000000000000002</v>
      </c>
      <c r="AD180" s="43" t="s">
        <v>4</v>
      </c>
      <c r="AE180" s="43" t="s">
        <v>4</v>
      </c>
      <c r="AF180" s="97">
        <f t="shared" si="27"/>
        <v>1</v>
      </c>
      <c r="AG180" s="44">
        <f t="shared" si="28"/>
        <v>1.0000000000000004</v>
      </c>
      <c r="AH180" s="55">
        <f t="shared" si="29"/>
        <v>0</v>
      </c>
      <c r="AI180" s="55">
        <f>COUNTIF('Score BD'!$M180:$P180,"no")</f>
        <v>0</v>
      </c>
      <c r="AJ180" s="55">
        <f t="shared" si="30"/>
        <v>0</v>
      </c>
      <c r="AK180" s="55">
        <f t="shared" si="31"/>
        <v>0</v>
      </c>
      <c r="AL180" s="55">
        <f t="shared" si="32"/>
        <v>0</v>
      </c>
      <c r="AM180" s="104" t="s">
        <v>582</v>
      </c>
      <c r="AN180" s="55"/>
      <c r="AO180" s="61"/>
      <c r="AP180" s="61"/>
      <c r="AQ180" s="59" t="str">
        <f>IFERROR(_xlfn.XLOOKUP(Tabla1[[#This Row],[Cedula agente]],Lista!$B$2:$B$97,Lista!$G$2:$G$97)," ")</f>
        <v>Luisa Fernanda Benavides Castrillon</v>
      </c>
      <c r="AR180" s="59" t="s">
        <v>162</v>
      </c>
      <c r="AS180" s="55" t="str">
        <f>IFERROR(_xlfn.XLOOKUP(Tabla1[[#This Row],[Cedula agente]],Lista!$B$2:$B$97,Lista!$F$2:$F$97)," ")</f>
        <v>John Sebastian Roncancio Avendaño</v>
      </c>
      <c r="AT180" s="99">
        <v>0.95</v>
      </c>
      <c r="AU180" s="200">
        <f>+WEEKNUM('Score BD'!$H180)-WEEKNUM(DATE(YEAR('Score BD'!$H180),MONTH('Score BD'!$H180),1))+1</f>
        <v>3</v>
      </c>
    </row>
    <row r="181" spans="1:47" ht="17.45" customHeight="1" x14ac:dyDescent="0.3">
      <c r="A181" s="49" t="str">
        <f t="shared" si="22"/>
        <v>Ministerio de Educación Nacional</v>
      </c>
      <c r="B181" s="50">
        <f>+IFERROR(COUNTIF($J$3:J181,J181)," ")</f>
        <v>14</v>
      </c>
      <c r="C181" s="54" t="str">
        <f>+'Score BD'!$J181&amp;'Score BD'!$B181</f>
        <v>Ingrid Carolina Monsalve Quintero14</v>
      </c>
      <c r="D181" s="91" t="s">
        <v>148</v>
      </c>
      <c r="E181" s="92" t="s">
        <v>164</v>
      </c>
      <c r="F181" s="92" t="s">
        <v>212</v>
      </c>
      <c r="G181" s="60" t="str">
        <f t="shared" si="23"/>
        <v>Noviembre</v>
      </c>
      <c r="H181" s="65">
        <v>45974</v>
      </c>
      <c r="I181" s="243">
        <v>45973</v>
      </c>
      <c r="J181" s="57" t="s">
        <v>176</v>
      </c>
      <c r="K181" s="54">
        <f>IFERROR(VLOOKUP('Score BD'!$J181,Lista!A:B,2,0)," ")</f>
        <v>52805909</v>
      </c>
      <c r="L181" s="61" t="s">
        <v>430</v>
      </c>
      <c r="M181" s="59" t="s">
        <v>4</v>
      </c>
      <c r="N181" s="59" t="s">
        <v>4</v>
      </c>
      <c r="O181" s="59" t="s">
        <v>4</v>
      </c>
      <c r="P181" s="59" t="s">
        <v>4</v>
      </c>
      <c r="Q181" s="96">
        <f t="shared" si="24"/>
        <v>1</v>
      </c>
      <c r="R181" s="59" t="s">
        <v>4</v>
      </c>
      <c r="S181" s="59" t="s">
        <v>4</v>
      </c>
      <c r="T181" s="59" t="s">
        <v>4</v>
      </c>
      <c r="U181" s="59" t="s">
        <v>4</v>
      </c>
      <c r="V181" s="45">
        <f t="shared" si="25"/>
        <v>1</v>
      </c>
      <c r="W181" s="59" t="s">
        <v>4</v>
      </c>
      <c r="X181" s="59" t="s">
        <v>4</v>
      </c>
      <c r="Y181" s="59" t="s">
        <v>4</v>
      </c>
      <c r="Z181" s="59" t="s">
        <v>4</v>
      </c>
      <c r="AA181" s="59" t="s">
        <v>4</v>
      </c>
      <c r="AB181" s="59" t="s">
        <v>4</v>
      </c>
      <c r="AC181" s="45">
        <f t="shared" si="26"/>
        <v>1.000000000000002</v>
      </c>
      <c r="AD181" s="43" t="s">
        <v>4</v>
      </c>
      <c r="AE181" s="43" t="s">
        <v>4</v>
      </c>
      <c r="AF181" s="97">
        <f t="shared" si="27"/>
        <v>1</v>
      </c>
      <c r="AG181" s="44">
        <f t="shared" si="28"/>
        <v>1.0000000000000004</v>
      </c>
      <c r="AH181" s="55">
        <f t="shared" si="29"/>
        <v>0</v>
      </c>
      <c r="AI181" s="55">
        <f>COUNTIF('Score BD'!$M181:$P181,"no")</f>
        <v>0</v>
      </c>
      <c r="AJ181" s="55">
        <f t="shared" si="30"/>
        <v>0</v>
      </c>
      <c r="AK181" s="55">
        <f t="shared" si="31"/>
        <v>0</v>
      </c>
      <c r="AL181" s="55">
        <f t="shared" si="32"/>
        <v>0</v>
      </c>
      <c r="AM181" s="104" t="s">
        <v>582</v>
      </c>
      <c r="AN181" s="55"/>
      <c r="AO181" s="61"/>
      <c r="AP181" s="61"/>
      <c r="AQ181" s="59" t="str">
        <f>IFERROR(_xlfn.XLOOKUP(Tabla1[[#This Row],[Cedula agente]],Lista!$B$2:$B$97,Lista!$G$2:$G$97)," ")</f>
        <v>Luisa Fernanda Benavides Castrillon</v>
      </c>
      <c r="AR181" s="59" t="s">
        <v>162</v>
      </c>
      <c r="AS181" s="55" t="str">
        <f>IFERROR(_xlfn.XLOOKUP(Tabla1[[#This Row],[Cedula agente]],Lista!$B$2:$B$97,Lista!$F$2:$F$97)," ")</f>
        <v>John Sebastian Roncancio Avendaño</v>
      </c>
      <c r="AT181" s="99">
        <v>0.95</v>
      </c>
      <c r="AU181" s="200">
        <f>+WEEKNUM('Score BD'!$H181)-WEEKNUM(DATE(YEAR('Score BD'!$H181),MONTH('Score BD'!$H181),1))+1</f>
        <v>3</v>
      </c>
    </row>
    <row r="182" spans="1:47" ht="17.45" customHeight="1" x14ac:dyDescent="0.3">
      <c r="A182" s="49" t="str">
        <f t="shared" si="22"/>
        <v>Ministerio de Educación Nacional</v>
      </c>
      <c r="B182" s="50">
        <f>+IFERROR(COUNTIF($J$3:J182,J182)," ")</f>
        <v>6</v>
      </c>
      <c r="C182" s="54" t="str">
        <f>+'Score BD'!$J182&amp;'Score BD'!$B182</f>
        <v>Jesus David Hernandez Fernandez de Castro6</v>
      </c>
      <c r="D182" s="91" t="s">
        <v>148</v>
      </c>
      <c r="E182" s="92" t="s">
        <v>208</v>
      </c>
      <c r="F182" s="92" t="s">
        <v>212</v>
      </c>
      <c r="G182" s="60" t="str">
        <f t="shared" si="23"/>
        <v>Noviembre</v>
      </c>
      <c r="H182" s="65">
        <v>45974</v>
      </c>
      <c r="I182" s="243">
        <v>45973</v>
      </c>
      <c r="J182" s="57" t="s">
        <v>177</v>
      </c>
      <c r="K182" s="54">
        <f>IFERROR(VLOOKUP('Score BD'!$J182,Lista!A:B,2,0)," ")</f>
        <v>1083038013</v>
      </c>
      <c r="L182" s="61" t="s">
        <v>431</v>
      </c>
      <c r="M182" s="59" t="s">
        <v>4</v>
      </c>
      <c r="N182" s="59" t="s">
        <v>4</v>
      </c>
      <c r="O182" s="59" t="s">
        <v>4</v>
      </c>
      <c r="P182" s="59" t="s">
        <v>4</v>
      </c>
      <c r="Q182" s="96">
        <f t="shared" si="24"/>
        <v>1</v>
      </c>
      <c r="R182" s="59" t="s">
        <v>4</v>
      </c>
      <c r="S182" s="59" t="s">
        <v>4</v>
      </c>
      <c r="T182" s="59" t="s">
        <v>4</v>
      </c>
      <c r="U182" s="59" t="s">
        <v>4</v>
      </c>
      <c r="V182" s="45">
        <f t="shared" si="25"/>
        <v>1</v>
      </c>
      <c r="W182" s="59" t="s">
        <v>4</v>
      </c>
      <c r="X182" s="59" t="s">
        <v>4</v>
      </c>
      <c r="Y182" s="59" t="s">
        <v>4</v>
      </c>
      <c r="Z182" s="59" t="s">
        <v>4</v>
      </c>
      <c r="AA182" s="59" t="s">
        <v>4</v>
      </c>
      <c r="AB182" s="59" t="s">
        <v>4</v>
      </c>
      <c r="AC182" s="45">
        <f t="shared" si="26"/>
        <v>1.000000000000002</v>
      </c>
      <c r="AD182" s="43" t="s">
        <v>4</v>
      </c>
      <c r="AE182" s="43" t="s">
        <v>4</v>
      </c>
      <c r="AF182" s="97">
        <f t="shared" si="27"/>
        <v>1</v>
      </c>
      <c r="AG182" s="44">
        <f t="shared" si="28"/>
        <v>1.0000000000000004</v>
      </c>
      <c r="AH182" s="55">
        <f t="shared" si="29"/>
        <v>0</v>
      </c>
      <c r="AI182" s="55">
        <f>COUNTIF('Score BD'!$M182:$P182,"no")</f>
        <v>0</v>
      </c>
      <c r="AJ182" s="55">
        <f t="shared" si="30"/>
        <v>0</v>
      </c>
      <c r="AK182" s="55">
        <f t="shared" si="31"/>
        <v>0</v>
      </c>
      <c r="AL182" s="55">
        <f t="shared" si="32"/>
        <v>0</v>
      </c>
      <c r="AM182" s="104" t="s">
        <v>582</v>
      </c>
      <c r="AN182" s="55"/>
      <c r="AO182" s="61"/>
      <c r="AP182" s="61"/>
      <c r="AQ182" s="59" t="str">
        <f>IFERROR(_xlfn.XLOOKUP(Tabla1[[#This Row],[Cedula agente]],Lista!$B$2:$B$97,Lista!$G$2:$G$97)," ")</f>
        <v>Luisa Fernanda Benavides Castrillon</v>
      </c>
      <c r="AR182" s="59" t="s">
        <v>162</v>
      </c>
      <c r="AS182" s="55" t="str">
        <f>IFERROR(_xlfn.XLOOKUP(Tabla1[[#This Row],[Cedula agente]],Lista!$B$2:$B$97,Lista!$F$2:$F$97)," ")</f>
        <v>John Sebastian Roncancio Avendaño</v>
      </c>
      <c r="AT182" s="99">
        <v>0.95</v>
      </c>
      <c r="AU182" s="200">
        <f>+WEEKNUM('Score BD'!$H182)-WEEKNUM(DATE(YEAR('Score BD'!$H182),MONTH('Score BD'!$H182),1))+1</f>
        <v>3</v>
      </c>
    </row>
    <row r="183" spans="1:47" ht="17.45" customHeight="1" x14ac:dyDescent="0.3">
      <c r="A183" s="49" t="str">
        <f t="shared" si="22"/>
        <v>Ministerio de Educación Nacional</v>
      </c>
      <c r="B183" s="50">
        <f>+IFERROR(COUNTIF($J$3:J183,J183)," ")</f>
        <v>12</v>
      </c>
      <c r="C183" s="54" t="str">
        <f>+'Score BD'!$J183&amp;'Score BD'!$B183</f>
        <v>Juan Jose Santoya Medina12</v>
      </c>
      <c r="D183" s="91" t="s">
        <v>148</v>
      </c>
      <c r="E183" s="92" t="s">
        <v>165</v>
      </c>
      <c r="F183" s="92" t="s">
        <v>212</v>
      </c>
      <c r="G183" s="60" t="str">
        <f t="shared" si="23"/>
        <v>Noviembre</v>
      </c>
      <c r="H183" s="65">
        <v>45974</v>
      </c>
      <c r="I183" s="243">
        <v>45973</v>
      </c>
      <c r="J183" s="57" t="s">
        <v>178</v>
      </c>
      <c r="K183" s="54">
        <f>IFERROR(VLOOKUP('Score BD'!$J183,Lista!A:B,2,0)," ")</f>
        <v>1053345183</v>
      </c>
      <c r="L183" s="61" t="s">
        <v>432</v>
      </c>
      <c r="M183" s="59" t="s">
        <v>4</v>
      </c>
      <c r="N183" s="59" t="s">
        <v>4</v>
      </c>
      <c r="O183" s="59" t="s">
        <v>4</v>
      </c>
      <c r="P183" s="59" t="s">
        <v>4</v>
      </c>
      <c r="Q183" s="96">
        <f t="shared" si="24"/>
        <v>1</v>
      </c>
      <c r="R183" s="59" t="s">
        <v>4</v>
      </c>
      <c r="S183" s="59" t="s">
        <v>4</v>
      </c>
      <c r="T183" s="59" t="s">
        <v>4</v>
      </c>
      <c r="U183" s="59" t="s">
        <v>4</v>
      </c>
      <c r="V183" s="45">
        <f t="shared" si="25"/>
        <v>1</v>
      </c>
      <c r="W183" s="59" t="s">
        <v>4</v>
      </c>
      <c r="X183" s="59" t="s">
        <v>4</v>
      </c>
      <c r="Y183" s="59" t="s">
        <v>4</v>
      </c>
      <c r="Z183" s="59" t="s">
        <v>4</v>
      </c>
      <c r="AA183" s="59" t="s">
        <v>4</v>
      </c>
      <c r="AB183" s="59" t="s">
        <v>4</v>
      </c>
      <c r="AC183" s="45">
        <f t="shared" si="26"/>
        <v>1.000000000000002</v>
      </c>
      <c r="AD183" s="43" t="s">
        <v>4</v>
      </c>
      <c r="AE183" s="43" t="s">
        <v>4</v>
      </c>
      <c r="AF183" s="97">
        <f t="shared" si="27"/>
        <v>1</v>
      </c>
      <c r="AG183" s="44">
        <f t="shared" si="28"/>
        <v>1.0000000000000004</v>
      </c>
      <c r="AH183" s="55">
        <f t="shared" si="29"/>
        <v>0</v>
      </c>
      <c r="AI183" s="55">
        <f>COUNTIF('Score BD'!$M183:$P183,"no")</f>
        <v>0</v>
      </c>
      <c r="AJ183" s="55">
        <f t="shared" si="30"/>
        <v>0</v>
      </c>
      <c r="AK183" s="55">
        <f t="shared" si="31"/>
        <v>0</v>
      </c>
      <c r="AL183" s="55">
        <f t="shared" si="32"/>
        <v>0</v>
      </c>
      <c r="AM183" s="104" t="s">
        <v>582</v>
      </c>
      <c r="AN183" s="55"/>
      <c r="AO183" s="61"/>
      <c r="AP183" s="61"/>
      <c r="AQ183" s="59" t="str">
        <f>IFERROR(_xlfn.XLOOKUP(Tabla1[[#This Row],[Cedula agente]],Lista!$B$2:$B$97,Lista!$G$2:$G$97)," ")</f>
        <v>Luisa Fernanda Benavides Castrillon</v>
      </c>
      <c r="AR183" s="59" t="s">
        <v>162</v>
      </c>
      <c r="AS183" s="55" t="str">
        <f>IFERROR(_xlfn.XLOOKUP(Tabla1[[#This Row],[Cedula agente]],Lista!$B$2:$B$97,Lista!$F$2:$F$97)," ")</f>
        <v>John Sebastian Roncancio Avendaño</v>
      </c>
      <c r="AT183" s="99">
        <v>0.95</v>
      </c>
      <c r="AU183" s="200">
        <f>+WEEKNUM('Score BD'!$H183)-WEEKNUM(DATE(YEAR('Score BD'!$H183),MONTH('Score BD'!$H183),1))+1</f>
        <v>3</v>
      </c>
    </row>
    <row r="184" spans="1:47" ht="17.45" customHeight="1" x14ac:dyDescent="0.3">
      <c r="A184" s="49" t="str">
        <f t="shared" si="22"/>
        <v>Ministerio de Educación Nacional</v>
      </c>
      <c r="B184" s="50">
        <f>+IFERROR(COUNTIF($J$3:J184,J184)," ")</f>
        <v>13</v>
      </c>
      <c r="C184" s="54" t="str">
        <f>+'Score BD'!$J184&amp;'Score BD'!$B184</f>
        <v>Juan Jose Santoya Medina13</v>
      </c>
      <c r="D184" s="91" t="s">
        <v>148</v>
      </c>
      <c r="E184" s="92" t="s">
        <v>165</v>
      </c>
      <c r="F184" s="92" t="s">
        <v>212</v>
      </c>
      <c r="G184" s="60" t="str">
        <f t="shared" si="23"/>
        <v>Noviembre</v>
      </c>
      <c r="H184" s="65">
        <v>45974</v>
      </c>
      <c r="I184" s="243">
        <v>45973</v>
      </c>
      <c r="J184" s="57" t="s">
        <v>178</v>
      </c>
      <c r="K184" s="54">
        <f>IFERROR(VLOOKUP('Score BD'!$J184,Lista!A:B,2,0)," ")</f>
        <v>1053345183</v>
      </c>
      <c r="L184" s="61" t="s">
        <v>433</v>
      </c>
      <c r="M184" s="59" t="s">
        <v>4</v>
      </c>
      <c r="N184" s="59" t="s">
        <v>4</v>
      </c>
      <c r="O184" s="59" t="s">
        <v>4</v>
      </c>
      <c r="P184" s="59" t="s">
        <v>4</v>
      </c>
      <c r="Q184" s="96">
        <f t="shared" si="24"/>
        <v>1</v>
      </c>
      <c r="R184" s="59" t="s">
        <v>4</v>
      </c>
      <c r="S184" s="59" t="s">
        <v>4</v>
      </c>
      <c r="T184" s="59" t="s">
        <v>4</v>
      </c>
      <c r="U184" s="59" t="s">
        <v>4</v>
      </c>
      <c r="V184" s="45">
        <f t="shared" si="25"/>
        <v>1</v>
      </c>
      <c r="W184" s="59" t="s">
        <v>4</v>
      </c>
      <c r="X184" s="59" t="s">
        <v>4</v>
      </c>
      <c r="Y184" s="59" t="s">
        <v>4</v>
      </c>
      <c r="Z184" s="59" t="s">
        <v>4</v>
      </c>
      <c r="AA184" s="59" t="s">
        <v>4</v>
      </c>
      <c r="AB184" s="59" t="s">
        <v>4</v>
      </c>
      <c r="AC184" s="45">
        <f t="shared" si="26"/>
        <v>1.000000000000002</v>
      </c>
      <c r="AD184" s="43" t="s">
        <v>4</v>
      </c>
      <c r="AE184" s="43" t="s">
        <v>4</v>
      </c>
      <c r="AF184" s="97">
        <f t="shared" si="27"/>
        <v>1</v>
      </c>
      <c r="AG184" s="44">
        <f t="shared" si="28"/>
        <v>1.0000000000000004</v>
      </c>
      <c r="AH184" s="55">
        <f t="shared" si="29"/>
        <v>0</v>
      </c>
      <c r="AI184" s="55">
        <f>COUNTIF('Score BD'!$M184:$P184,"no")</f>
        <v>0</v>
      </c>
      <c r="AJ184" s="55">
        <f t="shared" si="30"/>
        <v>0</v>
      </c>
      <c r="AK184" s="55">
        <f t="shared" si="31"/>
        <v>0</v>
      </c>
      <c r="AL184" s="55">
        <f t="shared" si="32"/>
        <v>0</v>
      </c>
      <c r="AM184" s="104" t="s">
        <v>582</v>
      </c>
      <c r="AN184" s="55"/>
      <c r="AO184" s="61"/>
      <c r="AP184" s="61"/>
      <c r="AQ184" s="59" t="str">
        <f>IFERROR(_xlfn.XLOOKUP(Tabla1[[#This Row],[Cedula agente]],Lista!$B$2:$B$97,Lista!$G$2:$G$97)," ")</f>
        <v>Luisa Fernanda Benavides Castrillon</v>
      </c>
      <c r="AR184" s="59" t="s">
        <v>162</v>
      </c>
      <c r="AS184" s="55" t="str">
        <f>IFERROR(_xlfn.XLOOKUP(Tabla1[[#This Row],[Cedula agente]],Lista!$B$2:$B$97,Lista!$F$2:$F$97)," ")</f>
        <v>John Sebastian Roncancio Avendaño</v>
      </c>
      <c r="AT184" s="99">
        <v>0.95</v>
      </c>
      <c r="AU184" s="200">
        <f>+WEEKNUM('Score BD'!$H184)-WEEKNUM(DATE(YEAR('Score BD'!$H184),MONTH('Score BD'!$H184),1))+1</f>
        <v>3</v>
      </c>
    </row>
    <row r="185" spans="1:47" ht="17.45" customHeight="1" x14ac:dyDescent="0.3">
      <c r="A185" s="49" t="str">
        <f t="shared" si="22"/>
        <v>Ministerio de Educación Nacional</v>
      </c>
      <c r="B185" s="50">
        <f>+IFERROR(COUNTIF($J$3:J185,J185)," ")</f>
        <v>9</v>
      </c>
      <c r="C185" s="54" t="str">
        <f>+'Score BD'!$J185&amp;'Score BD'!$B185</f>
        <v>Juan Sebastián Suárez Morales9</v>
      </c>
      <c r="D185" s="91" t="s">
        <v>148</v>
      </c>
      <c r="E185" s="92" t="s">
        <v>165</v>
      </c>
      <c r="F185" s="92" t="s">
        <v>212</v>
      </c>
      <c r="G185" s="60" t="str">
        <f t="shared" si="23"/>
        <v>Noviembre</v>
      </c>
      <c r="H185" s="65">
        <v>45974</v>
      </c>
      <c r="I185" s="243">
        <v>45973</v>
      </c>
      <c r="J185" s="57" t="s">
        <v>179</v>
      </c>
      <c r="K185" s="54">
        <f>IFERROR(VLOOKUP('Score BD'!$J185,Lista!A:B,2,0)," ")</f>
        <v>1030541070</v>
      </c>
      <c r="L185" s="61" t="s">
        <v>434</v>
      </c>
      <c r="M185" s="59" t="s">
        <v>4</v>
      </c>
      <c r="N185" s="59" t="s">
        <v>4</v>
      </c>
      <c r="O185" s="59" t="s">
        <v>4</v>
      </c>
      <c r="P185" s="59" t="s">
        <v>4</v>
      </c>
      <c r="Q185" s="96">
        <f t="shared" si="24"/>
        <v>1</v>
      </c>
      <c r="R185" s="59" t="s">
        <v>4</v>
      </c>
      <c r="S185" s="59" t="s">
        <v>4</v>
      </c>
      <c r="T185" s="59" t="s">
        <v>4</v>
      </c>
      <c r="U185" s="59" t="s">
        <v>4</v>
      </c>
      <c r="V185" s="45">
        <f t="shared" si="25"/>
        <v>1</v>
      </c>
      <c r="W185" s="59" t="s">
        <v>4</v>
      </c>
      <c r="X185" s="59" t="s">
        <v>4</v>
      </c>
      <c r="Y185" s="59" t="s">
        <v>4</v>
      </c>
      <c r="Z185" s="59" t="s">
        <v>4</v>
      </c>
      <c r="AA185" s="59" t="s">
        <v>4</v>
      </c>
      <c r="AB185" s="59" t="s">
        <v>4</v>
      </c>
      <c r="AC185" s="45">
        <f t="shared" si="26"/>
        <v>1.000000000000002</v>
      </c>
      <c r="AD185" s="43" t="s">
        <v>4</v>
      </c>
      <c r="AE185" s="43" t="s">
        <v>4</v>
      </c>
      <c r="AF185" s="97">
        <f t="shared" si="27"/>
        <v>1</v>
      </c>
      <c r="AG185" s="44">
        <f t="shared" si="28"/>
        <v>1.0000000000000004</v>
      </c>
      <c r="AH185" s="55">
        <f t="shared" si="29"/>
        <v>0</v>
      </c>
      <c r="AI185" s="55">
        <f>COUNTIF('Score BD'!$M185:$P185,"no")</f>
        <v>0</v>
      </c>
      <c r="AJ185" s="55">
        <f t="shared" si="30"/>
        <v>0</v>
      </c>
      <c r="AK185" s="55">
        <f t="shared" si="31"/>
        <v>0</v>
      </c>
      <c r="AL185" s="55">
        <f t="shared" si="32"/>
        <v>0</v>
      </c>
      <c r="AM185" s="104" t="s">
        <v>582</v>
      </c>
      <c r="AN185" s="55"/>
      <c r="AO185" s="61"/>
      <c r="AP185" s="61"/>
      <c r="AQ185" s="59" t="str">
        <f>IFERROR(_xlfn.XLOOKUP(Tabla1[[#This Row],[Cedula agente]],Lista!$B$2:$B$97,Lista!$G$2:$G$97)," ")</f>
        <v>Luisa Fernanda Benavides Castrillon</v>
      </c>
      <c r="AR185" s="59" t="s">
        <v>162</v>
      </c>
      <c r="AS185" s="55" t="str">
        <f>IFERROR(_xlfn.XLOOKUP(Tabla1[[#This Row],[Cedula agente]],Lista!$B$2:$B$97,Lista!$F$2:$F$97)," ")</f>
        <v>John Sebastian Roncancio Avendaño</v>
      </c>
      <c r="AT185" s="99">
        <v>0.95</v>
      </c>
      <c r="AU185" s="200">
        <f>+WEEKNUM('Score BD'!$H185)-WEEKNUM(DATE(YEAR('Score BD'!$H185),MONTH('Score BD'!$H185),1))+1</f>
        <v>3</v>
      </c>
    </row>
    <row r="186" spans="1:47" ht="17.45" customHeight="1" x14ac:dyDescent="0.3">
      <c r="A186" s="49" t="str">
        <f t="shared" si="22"/>
        <v>Ministerio de Educación Nacional</v>
      </c>
      <c r="B186" s="50">
        <f>+IFERROR(COUNTIF($J$3:J186,J186)," ")</f>
        <v>7</v>
      </c>
      <c r="C186" s="54" t="str">
        <f>+'Score BD'!$J186&amp;'Score BD'!$B186</f>
        <v>Laura Juliana Rueda Durán7</v>
      </c>
      <c r="D186" s="91" t="s">
        <v>148</v>
      </c>
      <c r="E186" s="92" t="s">
        <v>165</v>
      </c>
      <c r="F186" s="92" t="s">
        <v>212</v>
      </c>
      <c r="G186" s="60" t="str">
        <f t="shared" si="23"/>
        <v>Noviembre</v>
      </c>
      <c r="H186" s="65">
        <v>45974</v>
      </c>
      <c r="I186" s="243">
        <v>45973</v>
      </c>
      <c r="J186" s="57" t="s">
        <v>180</v>
      </c>
      <c r="K186" s="54">
        <f>IFERROR(VLOOKUP('Score BD'!$J186,Lista!A:B,2,0)," ")</f>
        <v>1026291591</v>
      </c>
      <c r="L186" s="61" t="s">
        <v>435</v>
      </c>
      <c r="M186" s="59" t="s">
        <v>4</v>
      </c>
      <c r="N186" s="59" t="s">
        <v>4</v>
      </c>
      <c r="O186" s="59" t="s">
        <v>4</v>
      </c>
      <c r="P186" s="59" t="s">
        <v>4</v>
      </c>
      <c r="Q186" s="96">
        <f t="shared" si="24"/>
        <v>1</v>
      </c>
      <c r="R186" s="59" t="s">
        <v>4</v>
      </c>
      <c r="S186" s="59" t="s">
        <v>4</v>
      </c>
      <c r="T186" s="59" t="s">
        <v>4</v>
      </c>
      <c r="U186" s="59" t="s">
        <v>4</v>
      </c>
      <c r="V186" s="45">
        <f t="shared" si="25"/>
        <v>1</v>
      </c>
      <c r="W186" s="59" t="s">
        <v>4</v>
      </c>
      <c r="X186" s="59" t="s">
        <v>4</v>
      </c>
      <c r="Y186" s="59" t="s">
        <v>4</v>
      </c>
      <c r="Z186" s="59" t="s">
        <v>4</v>
      </c>
      <c r="AA186" s="59" t="s">
        <v>4</v>
      </c>
      <c r="AB186" s="59" t="s">
        <v>4</v>
      </c>
      <c r="AC186" s="45">
        <f t="shared" si="26"/>
        <v>1.000000000000002</v>
      </c>
      <c r="AD186" s="43" t="s">
        <v>4</v>
      </c>
      <c r="AE186" s="43" t="s">
        <v>4</v>
      </c>
      <c r="AF186" s="97">
        <f t="shared" si="27"/>
        <v>1</v>
      </c>
      <c r="AG186" s="44">
        <f t="shared" si="28"/>
        <v>1.0000000000000004</v>
      </c>
      <c r="AH186" s="55">
        <f t="shared" si="29"/>
        <v>0</v>
      </c>
      <c r="AI186" s="55">
        <f>COUNTIF('Score BD'!$M186:$P186,"no")</f>
        <v>0</v>
      </c>
      <c r="AJ186" s="55">
        <f t="shared" si="30"/>
        <v>0</v>
      </c>
      <c r="AK186" s="55">
        <f t="shared" si="31"/>
        <v>0</v>
      </c>
      <c r="AL186" s="55">
        <f t="shared" si="32"/>
        <v>0</v>
      </c>
      <c r="AM186" s="104" t="s">
        <v>582</v>
      </c>
      <c r="AN186" s="55"/>
      <c r="AO186" s="61"/>
      <c r="AP186" s="61"/>
      <c r="AQ186" s="59" t="str">
        <f>IFERROR(_xlfn.XLOOKUP(Tabla1[[#This Row],[Cedula agente]],Lista!$B$2:$B$97,Lista!$G$2:$G$97)," ")</f>
        <v>Luisa Fernanda Benavides Castrillon</v>
      </c>
      <c r="AR186" s="59" t="s">
        <v>162</v>
      </c>
      <c r="AS186" s="55" t="str">
        <f>IFERROR(_xlfn.XLOOKUP(Tabla1[[#This Row],[Cedula agente]],Lista!$B$2:$B$97,Lista!$F$2:$F$97)," ")</f>
        <v>John Sebastian Roncancio Avendaño</v>
      </c>
      <c r="AT186" s="99">
        <v>0.95</v>
      </c>
      <c r="AU186" s="200">
        <f>+WEEKNUM('Score BD'!$H186)-WEEKNUM(DATE(YEAR('Score BD'!$H186),MONTH('Score BD'!$H186),1))+1</f>
        <v>3</v>
      </c>
    </row>
    <row r="187" spans="1:47" ht="17.45" customHeight="1" x14ac:dyDescent="0.3">
      <c r="A187" s="49" t="str">
        <f t="shared" si="22"/>
        <v>Ministerio de Educación Nacional</v>
      </c>
      <c r="B187" s="50">
        <f>+IFERROR(COUNTIF($J$3:J187,J187)," ")</f>
        <v>7</v>
      </c>
      <c r="C187" s="54" t="str">
        <f>+'Score BD'!$J187&amp;'Score BD'!$B187</f>
        <v>Laura Ximena Sandoval Galindo7</v>
      </c>
      <c r="D187" s="91" t="s">
        <v>148</v>
      </c>
      <c r="E187" s="92" t="s">
        <v>208</v>
      </c>
      <c r="F187" s="92" t="s">
        <v>105</v>
      </c>
      <c r="G187" s="60" t="str">
        <f t="shared" si="23"/>
        <v>Noviembre</v>
      </c>
      <c r="H187" s="65">
        <v>45974</v>
      </c>
      <c r="I187" s="243">
        <v>45973</v>
      </c>
      <c r="J187" s="57" t="s">
        <v>201</v>
      </c>
      <c r="K187" s="54">
        <f>IFERROR(VLOOKUP('Score BD'!$J187,Lista!A:B,2,0)," ")</f>
        <v>1030678660</v>
      </c>
      <c r="L187" s="61" t="s">
        <v>436</v>
      </c>
      <c r="M187" s="59" t="s">
        <v>4</v>
      </c>
      <c r="N187" s="59" t="s">
        <v>4</v>
      </c>
      <c r="O187" s="59" t="s">
        <v>4</v>
      </c>
      <c r="P187" s="59" t="s">
        <v>4</v>
      </c>
      <c r="Q187" s="96">
        <f t="shared" si="24"/>
        <v>1</v>
      </c>
      <c r="R187" s="59" t="s">
        <v>4</v>
      </c>
      <c r="S187" s="59" t="s">
        <v>4</v>
      </c>
      <c r="T187" s="59" t="s">
        <v>4</v>
      </c>
      <c r="U187" s="59" t="s">
        <v>4</v>
      </c>
      <c r="V187" s="45">
        <f t="shared" si="25"/>
        <v>1</v>
      </c>
      <c r="W187" s="59" t="s">
        <v>4</v>
      </c>
      <c r="X187" s="59" t="s">
        <v>4</v>
      </c>
      <c r="Y187" s="59" t="s">
        <v>4</v>
      </c>
      <c r="Z187" s="59" t="s">
        <v>4</v>
      </c>
      <c r="AA187" s="59" t="s">
        <v>4</v>
      </c>
      <c r="AB187" s="59" t="s">
        <v>4</v>
      </c>
      <c r="AC187" s="45">
        <f t="shared" si="26"/>
        <v>1.000000000000002</v>
      </c>
      <c r="AD187" s="43" t="s">
        <v>4</v>
      </c>
      <c r="AE187" s="43" t="s">
        <v>4</v>
      </c>
      <c r="AF187" s="97">
        <f t="shared" si="27"/>
        <v>1</v>
      </c>
      <c r="AG187" s="44">
        <f t="shared" si="28"/>
        <v>1.0000000000000004</v>
      </c>
      <c r="AH187" s="55">
        <f t="shared" si="29"/>
        <v>0</v>
      </c>
      <c r="AI187" s="55">
        <f>COUNTIF('Score BD'!$M187:$P187,"no")</f>
        <v>0</v>
      </c>
      <c r="AJ187" s="55">
        <f t="shared" si="30"/>
        <v>0</v>
      </c>
      <c r="AK187" s="55">
        <f t="shared" si="31"/>
        <v>0</v>
      </c>
      <c r="AL187" s="55">
        <f t="shared" si="32"/>
        <v>0</v>
      </c>
      <c r="AM187" s="104" t="s">
        <v>582</v>
      </c>
      <c r="AN187" s="55"/>
      <c r="AO187" s="61"/>
      <c r="AP187" s="61"/>
      <c r="AQ187" s="59" t="str">
        <f>IFERROR(_xlfn.XLOOKUP(Tabla1[[#This Row],[Cedula agente]],Lista!$B$2:$B$97,Lista!$G$2:$G$97)," ")</f>
        <v>Luisa Fernanda Benavides Castrillon</v>
      </c>
      <c r="AR187" s="59" t="s">
        <v>162</v>
      </c>
      <c r="AS187" s="55" t="str">
        <f>IFERROR(_xlfn.XLOOKUP(Tabla1[[#This Row],[Cedula agente]],Lista!$B$2:$B$97,Lista!$F$2:$F$97)," ")</f>
        <v>John Sebastian Roncancio Avendaño</v>
      </c>
      <c r="AT187" s="99">
        <v>0.95</v>
      </c>
      <c r="AU187" s="200">
        <f>+WEEKNUM('Score BD'!$H187)-WEEKNUM(DATE(YEAR('Score BD'!$H187),MONTH('Score BD'!$H187),1))+1</f>
        <v>3</v>
      </c>
    </row>
    <row r="188" spans="1:47" ht="17.45" customHeight="1" x14ac:dyDescent="0.3">
      <c r="A188" s="49" t="str">
        <f t="shared" si="22"/>
        <v>Ministerio de Educación Nacional</v>
      </c>
      <c r="B188" s="50">
        <f>+IFERROR(COUNTIF($J$3:J188,J188)," ")</f>
        <v>13</v>
      </c>
      <c r="C188" s="54" t="str">
        <f>+'Score BD'!$J188&amp;'Score BD'!$B188</f>
        <v>Maira Alejandra Rodriguez Losada13</v>
      </c>
      <c r="D188" s="91" t="s">
        <v>148</v>
      </c>
      <c r="E188" s="92" t="s">
        <v>164</v>
      </c>
      <c r="F188" s="92" t="s">
        <v>212</v>
      </c>
      <c r="G188" s="60" t="str">
        <f t="shared" si="23"/>
        <v>Noviembre</v>
      </c>
      <c r="H188" s="65">
        <v>45974</v>
      </c>
      <c r="I188" s="243">
        <v>45973</v>
      </c>
      <c r="J188" s="57" t="s">
        <v>204</v>
      </c>
      <c r="K188" s="54">
        <f>IFERROR(VLOOKUP('Score BD'!$J188,Lista!A:B,2,0)," ")</f>
        <v>1075224344</v>
      </c>
      <c r="L188" s="61" t="s">
        <v>437</v>
      </c>
      <c r="M188" s="59" t="s">
        <v>4</v>
      </c>
      <c r="N188" s="59" t="s">
        <v>4</v>
      </c>
      <c r="O188" s="59" t="s">
        <v>4</v>
      </c>
      <c r="P188" s="59" t="s">
        <v>4</v>
      </c>
      <c r="Q188" s="96">
        <f t="shared" si="24"/>
        <v>1</v>
      </c>
      <c r="R188" s="59" t="s">
        <v>4</v>
      </c>
      <c r="S188" s="59" t="s">
        <v>4</v>
      </c>
      <c r="T188" s="59" t="s">
        <v>4</v>
      </c>
      <c r="U188" s="59" t="s">
        <v>4</v>
      </c>
      <c r="V188" s="45">
        <f t="shared" si="25"/>
        <v>1</v>
      </c>
      <c r="W188" s="59" t="s">
        <v>4</v>
      </c>
      <c r="X188" s="59" t="s">
        <v>4</v>
      </c>
      <c r="Y188" s="59" t="s">
        <v>4</v>
      </c>
      <c r="Z188" s="59" t="s">
        <v>4</v>
      </c>
      <c r="AA188" s="59" t="s">
        <v>4</v>
      </c>
      <c r="AB188" s="59" t="s">
        <v>4</v>
      </c>
      <c r="AC188" s="45">
        <f t="shared" si="26"/>
        <v>1.000000000000002</v>
      </c>
      <c r="AD188" s="43" t="s">
        <v>4</v>
      </c>
      <c r="AE188" s="43" t="s">
        <v>4</v>
      </c>
      <c r="AF188" s="97">
        <f t="shared" si="27"/>
        <v>1</v>
      </c>
      <c r="AG188" s="44">
        <f t="shared" si="28"/>
        <v>1.0000000000000004</v>
      </c>
      <c r="AH188" s="55">
        <f t="shared" si="29"/>
        <v>0</v>
      </c>
      <c r="AI188" s="55">
        <f>COUNTIF('Score BD'!$M188:$P188,"no")</f>
        <v>0</v>
      </c>
      <c r="AJ188" s="55">
        <f t="shared" si="30"/>
        <v>0</v>
      </c>
      <c r="AK188" s="55">
        <f t="shared" si="31"/>
        <v>0</v>
      </c>
      <c r="AL188" s="55">
        <f t="shared" si="32"/>
        <v>0</v>
      </c>
      <c r="AM188" s="104" t="s">
        <v>582</v>
      </c>
      <c r="AN188" s="55"/>
      <c r="AO188" s="61"/>
      <c r="AP188" s="61"/>
      <c r="AQ188" s="59" t="str">
        <f>IFERROR(_xlfn.XLOOKUP(Tabla1[[#This Row],[Cedula agente]],Lista!$B$2:$B$97,Lista!$G$2:$G$97)," ")</f>
        <v>Luisa Fernanda Benavides Castrillon</v>
      </c>
      <c r="AR188" s="59" t="s">
        <v>162</v>
      </c>
      <c r="AS188" s="55" t="str">
        <f>IFERROR(_xlfn.XLOOKUP(Tabla1[[#This Row],[Cedula agente]],Lista!$B$2:$B$97,Lista!$F$2:$F$97)," ")</f>
        <v>John Sebastian Roncancio Avendaño</v>
      </c>
      <c r="AT188" s="99">
        <v>0.95</v>
      </c>
      <c r="AU188" s="200">
        <f>+WEEKNUM('Score BD'!$H188)-WEEKNUM(DATE(YEAR('Score BD'!$H188),MONTH('Score BD'!$H188),1))+1</f>
        <v>3</v>
      </c>
    </row>
    <row r="189" spans="1:47" ht="17.45" customHeight="1" x14ac:dyDescent="0.3">
      <c r="A189" s="49" t="str">
        <f t="shared" si="22"/>
        <v>Ministerio de Educación Nacional</v>
      </c>
      <c r="B189" s="50">
        <f>+IFERROR(COUNTIF($J$3:J189,J189)," ")</f>
        <v>14</v>
      </c>
      <c r="C189" s="54" t="str">
        <f>+'Score BD'!$J189&amp;'Score BD'!$B189</f>
        <v>Maira Alejandra Rodriguez Losada14</v>
      </c>
      <c r="D189" s="91" t="s">
        <v>148</v>
      </c>
      <c r="E189" s="92" t="s">
        <v>164</v>
      </c>
      <c r="F189" s="92" t="s">
        <v>212</v>
      </c>
      <c r="G189" s="60" t="str">
        <f t="shared" si="23"/>
        <v>Noviembre</v>
      </c>
      <c r="H189" s="65">
        <v>45974</v>
      </c>
      <c r="I189" s="243">
        <v>45973</v>
      </c>
      <c r="J189" s="57" t="s">
        <v>204</v>
      </c>
      <c r="K189" s="54">
        <f>IFERROR(VLOOKUP('Score BD'!$J189,Lista!A:B,2,0)," ")</f>
        <v>1075224344</v>
      </c>
      <c r="L189" s="61" t="s">
        <v>438</v>
      </c>
      <c r="M189" s="59" t="s">
        <v>4</v>
      </c>
      <c r="N189" s="59" t="s">
        <v>4</v>
      </c>
      <c r="O189" s="59" t="s">
        <v>4</v>
      </c>
      <c r="P189" s="59" t="s">
        <v>4</v>
      </c>
      <c r="Q189" s="96">
        <f t="shared" si="24"/>
        <v>1</v>
      </c>
      <c r="R189" s="59" t="s">
        <v>4</v>
      </c>
      <c r="S189" s="59" t="s">
        <v>4</v>
      </c>
      <c r="T189" s="59" t="s">
        <v>4</v>
      </c>
      <c r="U189" s="59" t="s">
        <v>4</v>
      </c>
      <c r="V189" s="45">
        <f t="shared" si="25"/>
        <v>1</v>
      </c>
      <c r="W189" s="59" t="s">
        <v>4</v>
      </c>
      <c r="X189" s="59" t="s">
        <v>4</v>
      </c>
      <c r="Y189" s="59" t="s">
        <v>4</v>
      </c>
      <c r="Z189" s="59" t="s">
        <v>4</v>
      </c>
      <c r="AA189" s="59" t="s">
        <v>4</v>
      </c>
      <c r="AB189" s="59" t="s">
        <v>4</v>
      </c>
      <c r="AC189" s="45">
        <f t="shared" si="26"/>
        <v>1.000000000000002</v>
      </c>
      <c r="AD189" s="43" t="s">
        <v>4</v>
      </c>
      <c r="AE189" s="43" t="s">
        <v>4</v>
      </c>
      <c r="AF189" s="97">
        <f t="shared" si="27"/>
        <v>1</v>
      </c>
      <c r="AG189" s="44">
        <f t="shared" si="28"/>
        <v>1.0000000000000004</v>
      </c>
      <c r="AH189" s="55">
        <f t="shared" si="29"/>
        <v>0</v>
      </c>
      <c r="AI189" s="55">
        <f>COUNTIF('Score BD'!$M189:$P189,"no")</f>
        <v>0</v>
      </c>
      <c r="AJ189" s="55">
        <f t="shared" si="30"/>
        <v>0</v>
      </c>
      <c r="AK189" s="55">
        <f t="shared" si="31"/>
        <v>0</v>
      </c>
      <c r="AL189" s="55">
        <f t="shared" si="32"/>
        <v>0</v>
      </c>
      <c r="AM189" s="104" t="s">
        <v>582</v>
      </c>
      <c r="AN189" s="55"/>
      <c r="AO189" s="61"/>
      <c r="AP189" s="61"/>
      <c r="AQ189" s="59" t="str">
        <f>IFERROR(_xlfn.XLOOKUP(Tabla1[[#This Row],[Cedula agente]],Lista!$B$2:$B$97,Lista!$G$2:$G$97)," ")</f>
        <v>Luisa Fernanda Benavides Castrillon</v>
      </c>
      <c r="AR189" s="59" t="s">
        <v>162</v>
      </c>
      <c r="AS189" s="55" t="str">
        <f>IFERROR(_xlfn.XLOOKUP(Tabla1[[#This Row],[Cedula agente]],Lista!$B$2:$B$97,Lista!$F$2:$F$97)," ")</f>
        <v>John Sebastian Roncancio Avendaño</v>
      </c>
      <c r="AT189" s="99">
        <v>0.95</v>
      </c>
      <c r="AU189" s="200">
        <f>+WEEKNUM('Score BD'!$H189)-WEEKNUM(DATE(YEAR('Score BD'!$H189),MONTH('Score BD'!$H189),1))+1</f>
        <v>3</v>
      </c>
    </row>
    <row r="190" spans="1:47" ht="17.45" customHeight="1" x14ac:dyDescent="0.3">
      <c r="A190" s="49" t="str">
        <f t="shared" si="22"/>
        <v>Ministerio de Educación Nacional</v>
      </c>
      <c r="B190" s="50">
        <f>+IFERROR(COUNTIF($J$3:J190,J190)," ")</f>
        <v>13</v>
      </c>
      <c r="C190" s="54" t="str">
        <f>+'Score BD'!$J190&amp;'Score BD'!$B190</f>
        <v>María José Uribe Medina13</v>
      </c>
      <c r="D190" s="91" t="s">
        <v>148</v>
      </c>
      <c r="E190" s="92" t="s">
        <v>164</v>
      </c>
      <c r="F190" s="92" t="s">
        <v>212</v>
      </c>
      <c r="G190" s="60" t="str">
        <f t="shared" si="23"/>
        <v>Noviembre</v>
      </c>
      <c r="H190" s="65">
        <v>45974</v>
      </c>
      <c r="I190" s="243">
        <v>45973</v>
      </c>
      <c r="J190" s="57" t="s">
        <v>205</v>
      </c>
      <c r="K190" s="54">
        <f>IFERROR(VLOOKUP('Score BD'!$J190,Lista!A:B,2,0)," ")</f>
        <v>1121919150</v>
      </c>
      <c r="L190" s="61" t="s">
        <v>439</v>
      </c>
      <c r="M190" s="59" t="s">
        <v>4</v>
      </c>
      <c r="N190" s="59" t="s">
        <v>4</v>
      </c>
      <c r="O190" s="59" t="s">
        <v>4</v>
      </c>
      <c r="P190" s="59" t="s">
        <v>4</v>
      </c>
      <c r="Q190" s="96">
        <f t="shared" si="24"/>
        <v>1</v>
      </c>
      <c r="R190" s="59" t="s">
        <v>4</v>
      </c>
      <c r="S190" s="59" t="s">
        <v>4</v>
      </c>
      <c r="T190" s="59" t="s">
        <v>4</v>
      </c>
      <c r="U190" s="59" t="s">
        <v>4</v>
      </c>
      <c r="V190" s="45">
        <f t="shared" si="25"/>
        <v>1</v>
      </c>
      <c r="W190" s="59" t="s">
        <v>4</v>
      </c>
      <c r="X190" s="59" t="s">
        <v>4</v>
      </c>
      <c r="Y190" s="59" t="s">
        <v>4</v>
      </c>
      <c r="Z190" s="59" t="s">
        <v>4</v>
      </c>
      <c r="AA190" s="59" t="s">
        <v>4</v>
      </c>
      <c r="AB190" s="59" t="s">
        <v>4</v>
      </c>
      <c r="AC190" s="45">
        <f t="shared" si="26"/>
        <v>1.000000000000002</v>
      </c>
      <c r="AD190" s="43" t="s">
        <v>4</v>
      </c>
      <c r="AE190" s="43" t="s">
        <v>4</v>
      </c>
      <c r="AF190" s="97">
        <f t="shared" si="27"/>
        <v>1</v>
      </c>
      <c r="AG190" s="44">
        <f t="shared" si="28"/>
        <v>1.0000000000000004</v>
      </c>
      <c r="AH190" s="55">
        <f t="shared" si="29"/>
        <v>0</v>
      </c>
      <c r="AI190" s="55">
        <f>COUNTIF('Score BD'!$M190:$P190,"no")</f>
        <v>0</v>
      </c>
      <c r="AJ190" s="55">
        <f t="shared" si="30"/>
        <v>0</v>
      </c>
      <c r="AK190" s="55">
        <f t="shared" si="31"/>
        <v>0</v>
      </c>
      <c r="AL190" s="55">
        <f t="shared" si="32"/>
        <v>0</v>
      </c>
      <c r="AM190" s="104" t="s">
        <v>582</v>
      </c>
      <c r="AN190" s="55"/>
      <c r="AO190" s="61"/>
      <c r="AP190" s="61"/>
      <c r="AQ190" s="59" t="str">
        <f>IFERROR(_xlfn.XLOOKUP(Tabla1[[#This Row],[Cedula agente]],Lista!$B$2:$B$97,Lista!$G$2:$G$97)," ")</f>
        <v>Luisa Fernanda Benavides Castrillon</v>
      </c>
      <c r="AR190" s="59" t="s">
        <v>162</v>
      </c>
      <c r="AS190" s="55" t="str">
        <f>IFERROR(_xlfn.XLOOKUP(Tabla1[[#This Row],[Cedula agente]],Lista!$B$2:$B$97,Lista!$F$2:$F$97)," ")</f>
        <v>John Sebastian Roncancio Avendaño</v>
      </c>
      <c r="AT190" s="99">
        <v>0.95</v>
      </c>
      <c r="AU190" s="200">
        <f>+WEEKNUM('Score BD'!$H190)-WEEKNUM(DATE(YEAR('Score BD'!$H190),MONTH('Score BD'!$H190),1))+1</f>
        <v>3</v>
      </c>
    </row>
    <row r="191" spans="1:47" ht="17.45" customHeight="1" x14ac:dyDescent="0.3">
      <c r="A191" s="49" t="str">
        <f t="shared" si="22"/>
        <v>Ministerio de Educación Nacional</v>
      </c>
      <c r="B191" s="50">
        <f>+IFERROR(COUNTIF($J$3:J191,J191)," ")</f>
        <v>14</v>
      </c>
      <c r="C191" s="54" t="str">
        <f>+'Score BD'!$J191&amp;'Score BD'!$B191</f>
        <v>María José Uribe Medina14</v>
      </c>
      <c r="D191" s="91" t="s">
        <v>148</v>
      </c>
      <c r="E191" s="92" t="s">
        <v>164</v>
      </c>
      <c r="F191" s="92" t="s">
        <v>212</v>
      </c>
      <c r="G191" s="60" t="str">
        <f t="shared" si="23"/>
        <v>Noviembre</v>
      </c>
      <c r="H191" s="65">
        <v>45974</v>
      </c>
      <c r="I191" s="243">
        <v>45973</v>
      </c>
      <c r="J191" s="57" t="s">
        <v>205</v>
      </c>
      <c r="K191" s="54">
        <f>IFERROR(VLOOKUP('Score BD'!$J191,Lista!A:B,2,0)," ")</f>
        <v>1121919150</v>
      </c>
      <c r="L191" s="61" t="s">
        <v>440</v>
      </c>
      <c r="M191" s="59" t="s">
        <v>4</v>
      </c>
      <c r="N191" s="59" t="s">
        <v>4</v>
      </c>
      <c r="O191" s="59" t="s">
        <v>4</v>
      </c>
      <c r="P191" s="59" t="s">
        <v>4</v>
      </c>
      <c r="Q191" s="96">
        <f t="shared" si="24"/>
        <v>1</v>
      </c>
      <c r="R191" s="59" t="s">
        <v>4</v>
      </c>
      <c r="S191" s="59" t="s">
        <v>4</v>
      </c>
      <c r="T191" s="59" t="s">
        <v>4</v>
      </c>
      <c r="U191" s="59" t="s">
        <v>4</v>
      </c>
      <c r="V191" s="45">
        <f t="shared" si="25"/>
        <v>1</v>
      </c>
      <c r="W191" s="59" t="s">
        <v>4</v>
      </c>
      <c r="X191" s="59" t="s">
        <v>4</v>
      </c>
      <c r="Y191" s="59" t="s">
        <v>4</v>
      </c>
      <c r="Z191" s="59" t="s">
        <v>4</v>
      </c>
      <c r="AA191" s="59" t="s">
        <v>4</v>
      </c>
      <c r="AB191" s="59" t="s">
        <v>4</v>
      </c>
      <c r="AC191" s="45">
        <f t="shared" si="26"/>
        <v>1.000000000000002</v>
      </c>
      <c r="AD191" s="43" t="s">
        <v>4</v>
      </c>
      <c r="AE191" s="43" t="s">
        <v>4</v>
      </c>
      <c r="AF191" s="97">
        <f t="shared" si="27"/>
        <v>1</v>
      </c>
      <c r="AG191" s="44">
        <f t="shared" si="28"/>
        <v>1.0000000000000004</v>
      </c>
      <c r="AH191" s="55">
        <f t="shared" si="29"/>
        <v>0</v>
      </c>
      <c r="AI191" s="55">
        <f>COUNTIF('Score BD'!$M191:$P191,"no")</f>
        <v>0</v>
      </c>
      <c r="AJ191" s="55">
        <f t="shared" si="30"/>
        <v>0</v>
      </c>
      <c r="AK191" s="55">
        <f t="shared" si="31"/>
        <v>0</v>
      </c>
      <c r="AL191" s="55">
        <f t="shared" si="32"/>
        <v>0</v>
      </c>
      <c r="AM191" s="104" t="s">
        <v>582</v>
      </c>
      <c r="AN191" s="55"/>
      <c r="AO191" s="61"/>
      <c r="AP191" s="61"/>
      <c r="AQ191" s="59" t="str">
        <f>IFERROR(_xlfn.XLOOKUP(Tabla1[[#This Row],[Cedula agente]],Lista!$B$2:$B$97,Lista!$G$2:$G$97)," ")</f>
        <v>Luisa Fernanda Benavides Castrillon</v>
      </c>
      <c r="AR191" s="59" t="s">
        <v>162</v>
      </c>
      <c r="AS191" s="55" t="str">
        <f>IFERROR(_xlfn.XLOOKUP(Tabla1[[#This Row],[Cedula agente]],Lista!$B$2:$B$97,Lista!$F$2:$F$97)," ")</f>
        <v>John Sebastian Roncancio Avendaño</v>
      </c>
      <c r="AT191" s="99">
        <v>0.95</v>
      </c>
      <c r="AU191" s="200">
        <f>+WEEKNUM('Score BD'!$H191)-WEEKNUM(DATE(YEAR('Score BD'!$H191),MONTH('Score BD'!$H191),1))+1</f>
        <v>3</v>
      </c>
    </row>
    <row r="192" spans="1:47" ht="17.45" customHeight="1" x14ac:dyDescent="0.3">
      <c r="A192" s="49" t="str">
        <f t="shared" si="22"/>
        <v>Ministerio de Educación Nacional</v>
      </c>
      <c r="B192" s="50">
        <f>+IFERROR(COUNTIF($J$3:J192,J192)," ")</f>
        <v>13</v>
      </c>
      <c r="C192" s="54" t="str">
        <f>+'Score BD'!$J192&amp;'Score BD'!$B192</f>
        <v>Natalia Cañón Betancourt13</v>
      </c>
      <c r="D192" s="91" t="s">
        <v>148</v>
      </c>
      <c r="E192" s="92" t="s">
        <v>164</v>
      </c>
      <c r="F192" s="92" t="s">
        <v>212</v>
      </c>
      <c r="G192" s="60" t="str">
        <f t="shared" si="23"/>
        <v>Noviembre</v>
      </c>
      <c r="H192" s="65">
        <v>45974</v>
      </c>
      <c r="I192" s="243">
        <v>45973</v>
      </c>
      <c r="J192" s="57" t="s">
        <v>181</v>
      </c>
      <c r="K192" s="54">
        <f>IFERROR(VLOOKUP('Score BD'!$J192,Lista!A:B,2,0)," ")</f>
        <v>1000383417</v>
      </c>
      <c r="L192" s="61" t="s">
        <v>441</v>
      </c>
      <c r="M192" s="59" t="s">
        <v>4</v>
      </c>
      <c r="N192" s="59" t="s">
        <v>4</v>
      </c>
      <c r="O192" s="59" t="s">
        <v>4</v>
      </c>
      <c r="P192" s="59" t="s">
        <v>4</v>
      </c>
      <c r="Q192" s="96">
        <f t="shared" si="24"/>
        <v>1</v>
      </c>
      <c r="R192" s="59" t="s">
        <v>4</v>
      </c>
      <c r="S192" s="59" t="s">
        <v>4</v>
      </c>
      <c r="T192" s="59" t="s">
        <v>4</v>
      </c>
      <c r="U192" s="59" t="s">
        <v>4</v>
      </c>
      <c r="V192" s="45">
        <f t="shared" si="25"/>
        <v>1</v>
      </c>
      <c r="W192" s="59" t="s">
        <v>4</v>
      </c>
      <c r="X192" s="59" t="s">
        <v>4</v>
      </c>
      <c r="Y192" s="59" t="s">
        <v>4</v>
      </c>
      <c r="Z192" s="59" t="s">
        <v>4</v>
      </c>
      <c r="AA192" s="59" t="s">
        <v>4</v>
      </c>
      <c r="AB192" s="59" t="s">
        <v>4</v>
      </c>
      <c r="AC192" s="45">
        <f t="shared" si="26"/>
        <v>1.000000000000002</v>
      </c>
      <c r="AD192" s="43" t="s">
        <v>4</v>
      </c>
      <c r="AE192" s="43" t="s">
        <v>4</v>
      </c>
      <c r="AF192" s="97">
        <f t="shared" si="27"/>
        <v>1</v>
      </c>
      <c r="AG192" s="44">
        <f t="shared" si="28"/>
        <v>1.0000000000000004</v>
      </c>
      <c r="AH192" s="55">
        <f t="shared" si="29"/>
        <v>0</v>
      </c>
      <c r="AI192" s="55">
        <f>COUNTIF('Score BD'!$M192:$P192,"no")</f>
        <v>0</v>
      </c>
      <c r="AJ192" s="55">
        <f t="shared" si="30"/>
        <v>0</v>
      </c>
      <c r="AK192" s="55">
        <f t="shared" si="31"/>
        <v>0</v>
      </c>
      <c r="AL192" s="55">
        <f t="shared" si="32"/>
        <v>0</v>
      </c>
      <c r="AM192" s="104" t="s">
        <v>582</v>
      </c>
      <c r="AN192" s="55"/>
      <c r="AO192" s="61"/>
      <c r="AP192" s="61"/>
      <c r="AQ192" s="59" t="str">
        <f>IFERROR(_xlfn.XLOOKUP(Tabla1[[#This Row],[Cedula agente]],Lista!$B$2:$B$97,Lista!$G$2:$G$97)," ")</f>
        <v>Luisa Fernanda Benavides Castrillon</v>
      </c>
      <c r="AR192" s="59" t="s">
        <v>162</v>
      </c>
      <c r="AS192" s="55" t="str">
        <f>IFERROR(_xlfn.XLOOKUP(Tabla1[[#This Row],[Cedula agente]],Lista!$B$2:$B$97,Lista!$F$2:$F$97)," ")</f>
        <v>John Sebastian Roncancio Avendaño</v>
      </c>
      <c r="AT192" s="99">
        <v>0.95</v>
      </c>
      <c r="AU192" s="200">
        <f>+WEEKNUM('Score BD'!$H192)-WEEKNUM(DATE(YEAR('Score BD'!$H192),MONTH('Score BD'!$H192),1))+1</f>
        <v>3</v>
      </c>
    </row>
    <row r="193" spans="1:47" ht="17.45" customHeight="1" x14ac:dyDescent="0.3">
      <c r="A193" s="49" t="str">
        <f t="shared" si="22"/>
        <v>Ministerio de Educación Nacional</v>
      </c>
      <c r="B193" s="50">
        <f>+IFERROR(COUNTIF($J$3:J193,J193)," ")</f>
        <v>14</v>
      </c>
      <c r="C193" s="54" t="str">
        <f>+'Score BD'!$J193&amp;'Score BD'!$B193</f>
        <v>Natalia Cañón Betancourt14</v>
      </c>
      <c r="D193" s="91" t="s">
        <v>148</v>
      </c>
      <c r="E193" s="92" t="s">
        <v>164</v>
      </c>
      <c r="F193" s="92" t="s">
        <v>212</v>
      </c>
      <c r="G193" s="60" t="str">
        <f t="shared" si="23"/>
        <v>Noviembre</v>
      </c>
      <c r="H193" s="65">
        <v>45974</v>
      </c>
      <c r="I193" s="243">
        <v>45973</v>
      </c>
      <c r="J193" s="57" t="s">
        <v>181</v>
      </c>
      <c r="K193" s="54">
        <f>IFERROR(VLOOKUP('Score BD'!$J193,Lista!A:B,2,0)," ")</f>
        <v>1000383417</v>
      </c>
      <c r="L193" s="61" t="s">
        <v>442</v>
      </c>
      <c r="M193" s="59" t="s">
        <v>4</v>
      </c>
      <c r="N193" s="59" t="s">
        <v>4</v>
      </c>
      <c r="O193" s="59" t="s">
        <v>4</v>
      </c>
      <c r="P193" s="59" t="s">
        <v>4</v>
      </c>
      <c r="Q193" s="96">
        <f t="shared" si="24"/>
        <v>1</v>
      </c>
      <c r="R193" s="59" t="s">
        <v>4</v>
      </c>
      <c r="S193" s="59" t="s">
        <v>4</v>
      </c>
      <c r="T193" s="59" t="s">
        <v>4</v>
      </c>
      <c r="U193" s="59" t="s">
        <v>4</v>
      </c>
      <c r="V193" s="45">
        <f t="shared" si="25"/>
        <v>1</v>
      </c>
      <c r="W193" s="59" t="s">
        <v>4</v>
      </c>
      <c r="X193" s="59" t="s">
        <v>4</v>
      </c>
      <c r="Y193" s="59" t="s">
        <v>4</v>
      </c>
      <c r="Z193" s="59" t="s">
        <v>4</v>
      </c>
      <c r="AA193" s="59" t="s">
        <v>4</v>
      </c>
      <c r="AB193" s="59" t="s">
        <v>4</v>
      </c>
      <c r="AC193" s="45">
        <f t="shared" si="26"/>
        <v>1.000000000000002</v>
      </c>
      <c r="AD193" s="43" t="s">
        <v>4</v>
      </c>
      <c r="AE193" s="43" t="s">
        <v>4</v>
      </c>
      <c r="AF193" s="97">
        <f t="shared" si="27"/>
        <v>1</v>
      </c>
      <c r="AG193" s="44">
        <f t="shared" si="28"/>
        <v>1.0000000000000004</v>
      </c>
      <c r="AH193" s="55">
        <f t="shared" si="29"/>
        <v>0</v>
      </c>
      <c r="AI193" s="55">
        <f>COUNTIF('Score BD'!$M193:$P193,"no")</f>
        <v>0</v>
      </c>
      <c r="AJ193" s="55">
        <f t="shared" si="30"/>
        <v>0</v>
      </c>
      <c r="AK193" s="55">
        <f t="shared" si="31"/>
        <v>0</v>
      </c>
      <c r="AL193" s="55">
        <f t="shared" si="32"/>
        <v>0</v>
      </c>
      <c r="AM193" s="104" t="s">
        <v>582</v>
      </c>
      <c r="AN193" s="55"/>
      <c r="AO193" s="61"/>
      <c r="AP193" s="61"/>
      <c r="AQ193" s="59" t="str">
        <f>IFERROR(_xlfn.XLOOKUP(Tabla1[[#This Row],[Cedula agente]],Lista!$B$2:$B$97,Lista!$G$2:$G$97)," ")</f>
        <v>Luisa Fernanda Benavides Castrillon</v>
      </c>
      <c r="AR193" s="59" t="s">
        <v>162</v>
      </c>
      <c r="AS193" s="55" t="str">
        <f>IFERROR(_xlfn.XLOOKUP(Tabla1[[#This Row],[Cedula agente]],Lista!$B$2:$B$97,Lista!$F$2:$F$97)," ")</f>
        <v>John Sebastian Roncancio Avendaño</v>
      </c>
      <c r="AT193" s="99">
        <v>0.95</v>
      </c>
      <c r="AU193" s="200">
        <f>+WEEKNUM('Score BD'!$H193)-WEEKNUM(DATE(YEAR('Score BD'!$H193),MONTH('Score BD'!$H193),1))+1</f>
        <v>3</v>
      </c>
    </row>
    <row r="194" spans="1:47" ht="17.45" customHeight="1" x14ac:dyDescent="0.3">
      <c r="A194" s="49" t="str">
        <f t="shared" si="22"/>
        <v>Ministerio de Educación Nacional</v>
      </c>
      <c r="B194" s="50">
        <f>+IFERROR(COUNTIF($J$3:J194,J194)," ")</f>
        <v>7</v>
      </c>
      <c r="C194" s="54" t="str">
        <f>+'Score BD'!$J194&amp;'Score BD'!$B194</f>
        <v>Quira Alejandra Herrera Camelo7</v>
      </c>
      <c r="D194" s="91" t="s">
        <v>148</v>
      </c>
      <c r="E194" s="92" t="s">
        <v>208</v>
      </c>
      <c r="F194" s="92" t="s">
        <v>212</v>
      </c>
      <c r="G194" s="60" t="str">
        <f t="shared" si="23"/>
        <v>Noviembre</v>
      </c>
      <c r="H194" s="65">
        <v>45974</v>
      </c>
      <c r="I194" s="243">
        <v>45973</v>
      </c>
      <c r="J194" s="57" t="s">
        <v>182</v>
      </c>
      <c r="K194" s="54">
        <f>IFERROR(VLOOKUP('Score BD'!$J194,Lista!A:B,2,0)," ")</f>
        <v>1010214168</v>
      </c>
      <c r="L194" s="61" t="s">
        <v>443</v>
      </c>
      <c r="M194" s="59" t="s">
        <v>4</v>
      </c>
      <c r="N194" s="59" t="s">
        <v>4</v>
      </c>
      <c r="O194" s="59" t="s">
        <v>4</v>
      </c>
      <c r="P194" s="59" t="s">
        <v>4</v>
      </c>
      <c r="Q194" s="96">
        <f t="shared" si="24"/>
        <v>1</v>
      </c>
      <c r="R194" s="59" t="s">
        <v>4</v>
      </c>
      <c r="S194" s="59" t="s">
        <v>4</v>
      </c>
      <c r="T194" s="59" t="s">
        <v>4</v>
      </c>
      <c r="U194" s="59" t="s">
        <v>4</v>
      </c>
      <c r="V194" s="45">
        <f t="shared" si="25"/>
        <v>1</v>
      </c>
      <c r="W194" s="59" t="s">
        <v>4</v>
      </c>
      <c r="X194" s="59" t="s">
        <v>4</v>
      </c>
      <c r="Y194" s="59" t="s">
        <v>4</v>
      </c>
      <c r="Z194" s="59" t="s">
        <v>4</v>
      </c>
      <c r="AA194" s="59" t="s">
        <v>4</v>
      </c>
      <c r="AB194" s="59" t="s">
        <v>4</v>
      </c>
      <c r="AC194" s="45">
        <f t="shared" si="26"/>
        <v>1.000000000000002</v>
      </c>
      <c r="AD194" s="43" t="s">
        <v>4</v>
      </c>
      <c r="AE194" s="43" t="s">
        <v>4</v>
      </c>
      <c r="AF194" s="97">
        <f t="shared" si="27"/>
        <v>1</v>
      </c>
      <c r="AG194" s="44">
        <f t="shared" si="28"/>
        <v>1.0000000000000004</v>
      </c>
      <c r="AH194" s="55">
        <f t="shared" si="29"/>
        <v>0</v>
      </c>
      <c r="AI194" s="55">
        <f>COUNTIF('Score BD'!$M194:$P194,"no")</f>
        <v>0</v>
      </c>
      <c r="AJ194" s="55">
        <f t="shared" si="30"/>
        <v>0</v>
      </c>
      <c r="AK194" s="55">
        <f t="shared" si="31"/>
        <v>0</v>
      </c>
      <c r="AL194" s="55">
        <f t="shared" si="32"/>
        <v>0</v>
      </c>
      <c r="AM194" s="104" t="s">
        <v>582</v>
      </c>
      <c r="AN194" s="55"/>
      <c r="AO194" s="61"/>
      <c r="AP194" s="61"/>
      <c r="AQ194" s="59" t="str">
        <f>IFERROR(_xlfn.XLOOKUP(Tabla1[[#This Row],[Cedula agente]],Lista!$B$2:$B$97,Lista!$G$2:$G$97)," ")</f>
        <v>Luisa Fernanda Benavides Castrillon</v>
      </c>
      <c r="AR194" s="59" t="s">
        <v>162</v>
      </c>
      <c r="AS194" s="55" t="str">
        <f>IFERROR(_xlfn.XLOOKUP(Tabla1[[#This Row],[Cedula agente]],Lista!$B$2:$B$97,Lista!$F$2:$F$97)," ")</f>
        <v>John Sebastian Roncancio Avendaño</v>
      </c>
      <c r="AT194" s="99">
        <v>0.95</v>
      </c>
      <c r="AU194" s="200">
        <f>+WEEKNUM('Score BD'!$H194)-WEEKNUM(DATE(YEAR('Score BD'!$H194),MONTH('Score BD'!$H194),1))+1</f>
        <v>3</v>
      </c>
    </row>
    <row r="195" spans="1:47" ht="17.45" customHeight="1" x14ac:dyDescent="0.3">
      <c r="A195" s="49" t="str">
        <f t="shared" si="22"/>
        <v>Ministerio de Educación Nacional</v>
      </c>
      <c r="B195" s="50">
        <f>+IFERROR(COUNTIF($J$3:J195,J195)," ")</f>
        <v>8</v>
      </c>
      <c r="C195" s="54" t="str">
        <f>+'Score BD'!$J195&amp;'Score BD'!$B195</f>
        <v>Valentina Castillo Rondón8</v>
      </c>
      <c r="D195" s="91" t="s">
        <v>148</v>
      </c>
      <c r="E195" s="92" t="s">
        <v>165</v>
      </c>
      <c r="F195" s="92" t="s">
        <v>212</v>
      </c>
      <c r="G195" s="60" t="str">
        <f t="shared" si="23"/>
        <v>Noviembre</v>
      </c>
      <c r="H195" s="65">
        <v>45974</v>
      </c>
      <c r="I195" s="243">
        <v>45973</v>
      </c>
      <c r="J195" s="57" t="s">
        <v>183</v>
      </c>
      <c r="K195" s="54">
        <f>IFERROR(VLOOKUP('Score BD'!$J195,Lista!A:B,2,0)," ")</f>
        <v>1121950095</v>
      </c>
      <c r="L195" s="61" t="s">
        <v>444</v>
      </c>
      <c r="M195" s="59" t="s">
        <v>4</v>
      </c>
      <c r="N195" s="59" t="s">
        <v>4</v>
      </c>
      <c r="O195" s="59" t="s">
        <v>4</v>
      </c>
      <c r="P195" s="59" t="s">
        <v>4</v>
      </c>
      <c r="Q195" s="96">
        <f t="shared" si="24"/>
        <v>1</v>
      </c>
      <c r="R195" s="59" t="s">
        <v>4</v>
      </c>
      <c r="S195" s="59" t="s">
        <v>4</v>
      </c>
      <c r="T195" s="59" t="s">
        <v>4</v>
      </c>
      <c r="U195" s="59" t="s">
        <v>4</v>
      </c>
      <c r="V195" s="45">
        <f t="shared" si="25"/>
        <v>1</v>
      </c>
      <c r="W195" s="59" t="s">
        <v>4</v>
      </c>
      <c r="X195" s="59" t="s">
        <v>4</v>
      </c>
      <c r="Y195" s="59" t="s">
        <v>4</v>
      </c>
      <c r="Z195" s="59" t="s">
        <v>4</v>
      </c>
      <c r="AA195" s="59" t="s">
        <v>4</v>
      </c>
      <c r="AB195" s="59" t="s">
        <v>4</v>
      </c>
      <c r="AC195" s="45">
        <f t="shared" si="26"/>
        <v>1.000000000000002</v>
      </c>
      <c r="AD195" s="43" t="s">
        <v>4</v>
      </c>
      <c r="AE195" s="43" t="s">
        <v>4</v>
      </c>
      <c r="AF195" s="97">
        <f t="shared" si="27"/>
        <v>1</v>
      </c>
      <c r="AG195" s="44">
        <f t="shared" si="28"/>
        <v>1.0000000000000004</v>
      </c>
      <c r="AH195" s="55">
        <f t="shared" si="29"/>
        <v>0</v>
      </c>
      <c r="AI195" s="55">
        <f>COUNTIF('Score BD'!$M195:$P195,"no")</f>
        <v>0</v>
      </c>
      <c r="AJ195" s="55">
        <f t="shared" si="30"/>
        <v>0</v>
      </c>
      <c r="AK195" s="55">
        <f t="shared" si="31"/>
        <v>0</v>
      </c>
      <c r="AL195" s="55">
        <f t="shared" si="32"/>
        <v>0</v>
      </c>
      <c r="AM195" s="104" t="s">
        <v>582</v>
      </c>
      <c r="AN195" s="55"/>
      <c r="AO195" s="61"/>
      <c r="AP195" s="61"/>
      <c r="AQ195" s="59" t="str">
        <f>IFERROR(_xlfn.XLOOKUP(Tabla1[[#This Row],[Cedula agente]],Lista!$B$2:$B$97,Lista!$G$2:$G$97)," ")</f>
        <v>Luisa Fernanda Benavides Castrillon</v>
      </c>
      <c r="AR195" s="59" t="s">
        <v>162</v>
      </c>
      <c r="AS195" s="55" t="str">
        <f>IFERROR(_xlfn.XLOOKUP(Tabla1[[#This Row],[Cedula agente]],Lista!$B$2:$B$97,Lista!$F$2:$F$97)," ")</f>
        <v>John Sebastian Roncancio Avendaño</v>
      </c>
      <c r="AT195" s="99">
        <v>0.95</v>
      </c>
      <c r="AU195" s="200">
        <f>+WEEKNUM('Score BD'!$H195)-WEEKNUM(DATE(YEAR('Score BD'!$H195),MONTH('Score BD'!$H195),1))+1</f>
        <v>3</v>
      </c>
    </row>
    <row r="196" spans="1:47" ht="17.45" customHeight="1" x14ac:dyDescent="0.3">
      <c r="A196" s="49" t="str">
        <f t="shared" ref="A196:A259" si="33">+IF(B196&gt;0,"Ministerio de Educación Nacional"," ")</f>
        <v>Ministerio de Educación Nacional</v>
      </c>
      <c r="B196" s="50">
        <f>+IFERROR(COUNTIF($J$3:J196,J196)," ")</f>
        <v>9</v>
      </c>
      <c r="C196" s="54" t="str">
        <f>+'Score BD'!$J196&amp;'Score BD'!$B196</f>
        <v>Yenny Maribel Duran Ovejero9</v>
      </c>
      <c r="D196" s="91" t="s">
        <v>148</v>
      </c>
      <c r="E196" s="92" t="s">
        <v>165</v>
      </c>
      <c r="F196" s="92" t="s">
        <v>212</v>
      </c>
      <c r="G196" s="60" t="str">
        <f t="shared" ref="G196:G259" si="34">+PROPER(TEXT(H196,"mmmm"))</f>
        <v>Noviembre</v>
      </c>
      <c r="H196" s="65">
        <v>45974</v>
      </c>
      <c r="I196" s="243">
        <v>45973</v>
      </c>
      <c r="J196" s="57" t="s">
        <v>206</v>
      </c>
      <c r="K196" s="54">
        <f>IFERROR(VLOOKUP('Score BD'!$J196,Lista!A:B,2,0)," ")</f>
        <v>52962387</v>
      </c>
      <c r="L196" s="61" t="s">
        <v>445</v>
      </c>
      <c r="M196" s="59" t="s">
        <v>4</v>
      </c>
      <c r="N196" s="59" t="s">
        <v>4</v>
      </c>
      <c r="O196" s="59" t="s">
        <v>4</v>
      </c>
      <c r="P196" s="59" t="s">
        <v>4</v>
      </c>
      <c r="Q196" s="96">
        <f t="shared" ref="Q196:Q259" si="35">+IF(M196="NO",0,25%)+IF(N196="NO",0,25%)+IF(O196="NO",0,25%)+IF(P196="NO",0,25%)</f>
        <v>1</v>
      </c>
      <c r="R196" s="59" t="s">
        <v>4</v>
      </c>
      <c r="S196" s="59" t="s">
        <v>4</v>
      </c>
      <c r="T196" s="59" t="s">
        <v>4</v>
      </c>
      <c r="U196" s="59" t="s">
        <v>4</v>
      </c>
      <c r="V196" s="45">
        <f t="shared" ref="V196:V259" si="36">+IF(R196="NO",0,25%)+IF(S196="NO",0,25%)+IF(T196="NO",0,25%)+IF(U196="NO",0,25%)</f>
        <v>1</v>
      </c>
      <c r="W196" s="59" t="s">
        <v>4</v>
      </c>
      <c r="X196" s="59" t="s">
        <v>4</v>
      </c>
      <c r="Y196" s="59" t="s">
        <v>4</v>
      </c>
      <c r="Z196" s="59" t="s">
        <v>4</v>
      </c>
      <c r="AA196" s="59" t="s">
        <v>4</v>
      </c>
      <c r="AB196" s="59" t="s">
        <v>4</v>
      </c>
      <c r="AC196" s="45">
        <f t="shared" ref="AC196:AC259" si="37">+IF(W196="NO",0%,16.6666666666667%)+IF(X196="NO",0%,16.6666666666667%)+IF(Y196="NO",0%,16.6666666666667%)+IF(Z196="NO",0%,16.6666666666667%)+IF(AA196="NO",0%,16.6666666666667%)+IF(AB196="NO",0%,16.6666666666667%)</f>
        <v>1.000000000000002</v>
      </c>
      <c r="AD196" s="43" t="s">
        <v>4</v>
      </c>
      <c r="AE196" s="43" t="s">
        <v>4</v>
      </c>
      <c r="AF196" s="97">
        <f t="shared" ref="AF196:AF259" si="38">+IF(AD196="NO",0%,50%)+IF(AE196="NO",0%,50%)</f>
        <v>1</v>
      </c>
      <c r="AG196" s="44">
        <f t="shared" ref="AG196:AG259" si="39">AVERAGE(AF196,AC196,V196,Q196)</f>
        <v>1.0000000000000004</v>
      </c>
      <c r="AH196" s="55">
        <f t="shared" ref="AH196:AH259" si="40">+COUNTIF(W196:AB196,"no")+COUNTIF(R196:U196,"no")+COUNTIF(AD196:AE196,"no")</f>
        <v>0</v>
      </c>
      <c r="AI196" s="55">
        <f>COUNTIF('Score BD'!$M196:$P196,"no")</f>
        <v>0</v>
      </c>
      <c r="AJ196" s="55">
        <f t="shared" ref="AJ196:AJ259" si="41">+IF(COUNTA(R196:U196)=0,"-",COUNTIF(R196:U196,"NO"))</f>
        <v>0</v>
      </c>
      <c r="AK196" s="55">
        <f t="shared" ref="AK196:AK259" si="42">+IF(COUNTA(W196:AB196)=0,"-",COUNTIF(W196:AB196,"NO"))</f>
        <v>0</v>
      </c>
      <c r="AL196" s="55">
        <f t="shared" ref="AL196:AL259" si="43">+IF(COUNTA(AD196:AE196)=0,"-",COUNTIF(AD196:AE196,"NO"))</f>
        <v>0</v>
      </c>
      <c r="AM196" s="104" t="s">
        <v>582</v>
      </c>
      <c r="AN196" s="55"/>
      <c r="AO196" s="61"/>
      <c r="AP196" s="61"/>
      <c r="AQ196" s="59" t="str">
        <f>IFERROR(_xlfn.XLOOKUP(Tabla1[[#This Row],[Cedula agente]],Lista!$B$2:$B$97,Lista!$G$2:$G$97)," ")</f>
        <v>Luisa Fernanda Benavides Castrillon</v>
      </c>
      <c r="AR196" s="59" t="s">
        <v>162</v>
      </c>
      <c r="AS196" s="55" t="str">
        <f>IFERROR(_xlfn.XLOOKUP(Tabla1[[#This Row],[Cedula agente]],Lista!$B$2:$B$97,Lista!$F$2:$F$97)," ")</f>
        <v>John Sebastian Roncancio Avendaño</v>
      </c>
      <c r="AT196" s="99">
        <v>0.95</v>
      </c>
      <c r="AU196" s="200">
        <f>+WEEKNUM('Score BD'!$H196)-WEEKNUM(DATE(YEAR('Score BD'!$H196),MONTH('Score BD'!$H196),1))+1</f>
        <v>3</v>
      </c>
    </row>
    <row r="197" spans="1:47" ht="17.45" customHeight="1" x14ac:dyDescent="0.3">
      <c r="A197" s="49" t="str">
        <f t="shared" si="33"/>
        <v>Ministerio de Educación Nacional</v>
      </c>
      <c r="B197" s="50">
        <f>+IFERROR(COUNTIF($J$3:J197,J197)," ")</f>
        <v>22</v>
      </c>
      <c r="C197" s="54" t="str">
        <f>+'Score BD'!$J197&amp;'Score BD'!$B197</f>
        <v>Ana Graciela Barbosa Villalobos22</v>
      </c>
      <c r="D197" s="91" t="s">
        <v>148</v>
      </c>
      <c r="E197" s="92" t="s">
        <v>210</v>
      </c>
      <c r="F197" s="92" t="s">
        <v>212</v>
      </c>
      <c r="G197" s="60" t="str">
        <f t="shared" si="34"/>
        <v>Noviembre</v>
      </c>
      <c r="H197" s="67">
        <v>45975</v>
      </c>
      <c r="I197" s="243">
        <v>45974</v>
      </c>
      <c r="J197" s="57" t="s">
        <v>171</v>
      </c>
      <c r="K197" s="54">
        <f>IFERROR(VLOOKUP('Score BD'!$J197,Lista!A:B,2,0)," ")</f>
        <v>1026264261</v>
      </c>
      <c r="L197" s="61" t="s">
        <v>446</v>
      </c>
      <c r="M197" s="59" t="s">
        <v>4</v>
      </c>
      <c r="N197" s="59" t="s">
        <v>4</v>
      </c>
      <c r="O197" s="59" t="s">
        <v>4</v>
      </c>
      <c r="P197" s="59" t="s">
        <v>4</v>
      </c>
      <c r="Q197" s="96">
        <f t="shared" si="35"/>
        <v>1</v>
      </c>
      <c r="R197" s="59" t="s">
        <v>4</v>
      </c>
      <c r="S197" s="59" t="s">
        <v>4</v>
      </c>
      <c r="T197" s="59" t="s">
        <v>4</v>
      </c>
      <c r="U197" s="59" t="s">
        <v>4</v>
      </c>
      <c r="V197" s="45">
        <f t="shared" si="36"/>
        <v>1</v>
      </c>
      <c r="W197" s="59" t="s">
        <v>4</v>
      </c>
      <c r="X197" s="59" t="s">
        <v>4</v>
      </c>
      <c r="Y197" s="59" t="s">
        <v>4</v>
      </c>
      <c r="Z197" s="59" t="s">
        <v>4</v>
      </c>
      <c r="AA197" s="59" t="s">
        <v>4</v>
      </c>
      <c r="AB197" s="59" t="s">
        <v>4</v>
      </c>
      <c r="AC197" s="45">
        <f t="shared" si="37"/>
        <v>1.000000000000002</v>
      </c>
      <c r="AD197" s="43" t="s">
        <v>4</v>
      </c>
      <c r="AE197" s="43" t="s">
        <v>4</v>
      </c>
      <c r="AF197" s="97">
        <f t="shared" si="38"/>
        <v>1</v>
      </c>
      <c r="AG197" s="44">
        <f t="shared" si="39"/>
        <v>1.0000000000000004</v>
      </c>
      <c r="AH197" s="55">
        <f t="shared" si="40"/>
        <v>0</v>
      </c>
      <c r="AI197" s="55">
        <f>COUNTIF('Score BD'!$M197:$P197,"no")</f>
        <v>0</v>
      </c>
      <c r="AJ197" s="55">
        <f t="shared" si="41"/>
        <v>0</v>
      </c>
      <c r="AK197" s="55">
        <f t="shared" si="42"/>
        <v>0</v>
      </c>
      <c r="AL197" s="55">
        <f t="shared" si="43"/>
        <v>0</v>
      </c>
      <c r="AM197" s="104" t="s">
        <v>583</v>
      </c>
      <c r="AN197" s="55"/>
      <c r="AO197" s="61"/>
      <c r="AP197" s="61"/>
      <c r="AQ197" s="59" t="str">
        <f>IFERROR(_xlfn.XLOOKUP(Tabla1[[#This Row],[Cedula agente]],Lista!$B$2:$B$97,Lista!$G$2:$G$97)," ")</f>
        <v>Luisa Fernanda Benavides Castrillon</v>
      </c>
      <c r="AR197" s="59" t="s">
        <v>162</v>
      </c>
      <c r="AS197" s="55" t="str">
        <f>IFERROR(_xlfn.XLOOKUP(Tabla1[[#This Row],[Cedula agente]],Lista!$B$2:$B$97,Lista!$F$2:$F$97)," ")</f>
        <v>John Sebastian Roncancio Avendaño</v>
      </c>
      <c r="AT197" s="99">
        <v>0.95</v>
      </c>
      <c r="AU197" s="200">
        <f>+WEEKNUM('Score BD'!$H197)-WEEKNUM(DATE(YEAR('Score BD'!$H197),MONTH('Score BD'!$H197),1))+1</f>
        <v>3</v>
      </c>
    </row>
    <row r="198" spans="1:47" ht="17.45" customHeight="1" x14ac:dyDescent="0.3">
      <c r="A198" s="49" t="str">
        <f t="shared" si="33"/>
        <v>Ministerio de Educación Nacional</v>
      </c>
      <c r="B198" s="50">
        <f>+IFERROR(COUNTIF($J$3:J198,J198)," ")</f>
        <v>23</v>
      </c>
      <c r="C198" s="54" t="str">
        <f>+'Score BD'!$J198&amp;'Score BD'!$B198</f>
        <v>Ana Graciela Barbosa Villalobos23</v>
      </c>
      <c r="D198" s="91" t="s">
        <v>148</v>
      </c>
      <c r="E198" s="92" t="s">
        <v>210</v>
      </c>
      <c r="F198" s="92" t="s">
        <v>212</v>
      </c>
      <c r="G198" s="60" t="str">
        <f t="shared" si="34"/>
        <v>Noviembre</v>
      </c>
      <c r="H198" s="67">
        <v>45975</v>
      </c>
      <c r="I198" s="243">
        <v>45974</v>
      </c>
      <c r="J198" s="57" t="s">
        <v>171</v>
      </c>
      <c r="K198" s="54">
        <f>IFERROR(VLOOKUP('Score BD'!$J198,Lista!A:B,2,0)," ")</f>
        <v>1026264261</v>
      </c>
      <c r="L198" s="61" t="s">
        <v>447</v>
      </c>
      <c r="M198" s="59" t="s">
        <v>4</v>
      </c>
      <c r="N198" s="59" t="s">
        <v>4</v>
      </c>
      <c r="O198" s="59" t="s">
        <v>4</v>
      </c>
      <c r="P198" s="59" t="s">
        <v>4</v>
      </c>
      <c r="Q198" s="96">
        <f t="shared" si="35"/>
        <v>1</v>
      </c>
      <c r="R198" s="59" t="s">
        <v>4</v>
      </c>
      <c r="S198" s="59" t="s">
        <v>4</v>
      </c>
      <c r="T198" s="59" t="s">
        <v>4</v>
      </c>
      <c r="U198" s="59" t="s">
        <v>4</v>
      </c>
      <c r="V198" s="45">
        <f t="shared" si="36"/>
        <v>1</v>
      </c>
      <c r="W198" s="59" t="s">
        <v>4</v>
      </c>
      <c r="X198" s="59" t="s">
        <v>4</v>
      </c>
      <c r="Y198" s="59" t="s">
        <v>4</v>
      </c>
      <c r="Z198" s="59" t="s">
        <v>4</v>
      </c>
      <c r="AA198" s="59" t="s">
        <v>4</v>
      </c>
      <c r="AB198" s="59" t="s">
        <v>4</v>
      </c>
      <c r="AC198" s="45">
        <f t="shared" si="37"/>
        <v>1.000000000000002</v>
      </c>
      <c r="AD198" s="43" t="s">
        <v>4</v>
      </c>
      <c r="AE198" s="43" t="s">
        <v>4</v>
      </c>
      <c r="AF198" s="97">
        <f t="shared" si="38"/>
        <v>1</v>
      </c>
      <c r="AG198" s="44">
        <f t="shared" si="39"/>
        <v>1.0000000000000004</v>
      </c>
      <c r="AH198" s="55">
        <f t="shared" si="40"/>
        <v>0</v>
      </c>
      <c r="AI198" s="55">
        <f>COUNTIF('Score BD'!$M198:$P198,"no")</f>
        <v>0</v>
      </c>
      <c r="AJ198" s="55">
        <f t="shared" si="41"/>
        <v>0</v>
      </c>
      <c r="AK198" s="55">
        <f t="shared" si="42"/>
        <v>0</v>
      </c>
      <c r="AL198" s="55">
        <f t="shared" si="43"/>
        <v>0</v>
      </c>
      <c r="AM198" s="104" t="s">
        <v>583</v>
      </c>
      <c r="AN198" s="55"/>
      <c r="AO198" s="61"/>
      <c r="AP198" s="61"/>
      <c r="AQ198" s="59" t="str">
        <f>IFERROR(_xlfn.XLOOKUP(Tabla1[[#This Row],[Cedula agente]],Lista!$B$2:$B$97,Lista!$G$2:$G$97)," ")</f>
        <v>Luisa Fernanda Benavides Castrillon</v>
      </c>
      <c r="AR198" s="59" t="s">
        <v>162</v>
      </c>
      <c r="AS198" s="55" t="str">
        <f>IFERROR(_xlfn.XLOOKUP(Tabla1[[#This Row],[Cedula agente]],Lista!$B$2:$B$97,Lista!$F$2:$F$97)," ")</f>
        <v>John Sebastian Roncancio Avendaño</v>
      </c>
      <c r="AT198" s="99">
        <v>0.95</v>
      </c>
      <c r="AU198" s="200">
        <f>+WEEKNUM('Score BD'!$H198)-WEEKNUM(DATE(YEAR('Score BD'!$H198),MONTH('Score BD'!$H198),1))+1</f>
        <v>3</v>
      </c>
    </row>
    <row r="199" spans="1:47" ht="17.45" customHeight="1" x14ac:dyDescent="0.3">
      <c r="A199" s="49" t="str">
        <f t="shared" si="33"/>
        <v>Ministerio de Educación Nacional</v>
      </c>
      <c r="B199" s="50">
        <f>+IFERROR(COUNTIF($J$3:J199,J199)," ")</f>
        <v>24</v>
      </c>
      <c r="C199" s="54" t="str">
        <f>+'Score BD'!$J199&amp;'Score BD'!$B199</f>
        <v>Ana Graciela Barbosa Villalobos24</v>
      </c>
      <c r="D199" s="91" t="s">
        <v>148</v>
      </c>
      <c r="E199" s="92" t="s">
        <v>210</v>
      </c>
      <c r="F199" s="92" t="s">
        <v>212</v>
      </c>
      <c r="G199" s="60" t="str">
        <f t="shared" si="34"/>
        <v>Noviembre</v>
      </c>
      <c r="H199" s="67">
        <v>45975</v>
      </c>
      <c r="I199" s="243">
        <v>45974</v>
      </c>
      <c r="J199" s="57" t="s">
        <v>171</v>
      </c>
      <c r="K199" s="54">
        <f>IFERROR(VLOOKUP('Score BD'!$J199,Lista!A:B,2,0)," ")</f>
        <v>1026264261</v>
      </c>
      <c r="L199" s="61" t="s">
        <v>448</v>
      </c>
      <c r="M199" s="59" t="s">
        <v>4</v>
      </c>
      <c r="N199" s="59" t="s">
        <v>4</v>
      </c>
      <c r="O199" s="59" t="s">
        <v>4</v>
      </c>
      <c r="P199" s="59" t="s">
        <v>4</v>
      </c>
      <c r="Q199" s="96">
        <f t="shared" si="35"/>
        <v>1</v>
      </c>
      <c r="R199" s="59" t="s">
        <v>4</v>
      </c>
      <c r="S199" s="59" t="s">
        <v>4</v>
      </c>
      <c r="T199" s="59" t="s">
        <v>4</v>
      </c>
      <c r="U199" s="59" t="s">
        <v>4</v>
      </c>
      <c r="V199" s="45">
        <f t="shared" si="36"/>
        <v>1</v>
      </c>
      <c r="W199" s="59" t="s">
        <v>4</v>
      </c>
      <c r="X199" s="59" t="s">
        <v>4</v>
      </c>
      <c r="Y199" s="59" t="s">
        <v>4</v>
      </c>
      <c r="Z199" s="59" t="s">
        <v>4</v>
      </c>
      <c r="AA199" s="59" t="s">
        <v>4</v>
      </c>
      <c r="AB199" s="59" t="s">
        <v>4</v>
      </c>
      <c r="AC199" s="45">
        <f t="shared" si="37"/>
        <v>1.000000000000002</v>
      </c>
      <c r="AD199" s="43" t="s">
        <v>4</v>
      </c>
      <c r="AE199" s="43" t="s">
        <v>4</v>
      </c>
      <c r="AF199" s="97">
        <f t="shared" si="38"/>
        <v>1</v>
      </c>
      <c r="AG199" s="44">
        <f t="shared" si="39"/>
        <v>1.0000000000000004</v>
      </c>
      <c r="AH199" s="55">
        <f t="shared" si="40"/>
        <v>0</v>
      </c>
      <c r="AI199" s="55">
        <f>COUNTIF('Score BD'!$M199:$P199,"no")</f>
        <v>0</v>
      </c>
      <c r="AJ199" s="55">
        <f t="shared" si="41"/>
        <v>0</v>
      </c>
      <c r="AK199" s="55">
        <f t="shared" si="42"/>
        <v>0</v>
      </c>
      <c r="AL199" s="55">
        <f t="shared" si="43"/>
        <v>0</v>
      </c>
      <c r="AM199" s="104" t="s">
        <v>583</v>
      </c>
      <c r="AN199" s="55"/>
      <c r="AO199" s="61"/>
      <c r="AP199" s="61"/>
      <c r="AQ199" s="59" t="str">
        <f>IFERROR(_xlfn.XLOOKUP(Tabla1[[#This Row],[Cedula agente]],Lista!$B$2:$B$97,Lista!$G$2:$G$97)," ")</f>
        <v>Luisa Fernanda Benavides Castrillon</v>
      </c>
      <c r="AR199" s="59" t="s">
        <v>162</v>
      </c>
      <c r="AS199" s="55" t="str">
        <f>IFERROR(_xlfn.XLOOKUP(Tabla1[[#This Row],[Cedula agente]],Lista!$B$2:$B$97,Lista!$F$2:$F$97)," ")</f>
        <v>John Sebastian Roncancio Avendaño</v>
      </c>
      <c r="AT199" s="99">
        <v>0.95</v>
      </c>
      <c r="AU199" s="200">
        <f>+WEEKNUM('Score BD'!$H199)-WEEKNUM(DATE(YEAR('Score BD'!$H199),MONTH('Score BD'!$H199),1))+1</f>
        <v>3</v>
      </c>
    </row>
    <row r="200" spans="1:47" ht="17.45" customHeight="1" x14ac:dyDescent="0.3">
      <c r="A200" s="49" t="str">
        <f t="shared" si="33"/>
        <v>Ministerio de Educación Nacional</v>
      </c>
      <c r="B200" s="50">
        <f>+IFERROR(COUNTIF($J$3:J200,J200)," ")</f>
        <v>5</v>
      </c>
      <c r="C200" s="54" t="str">
        <f>+'Score BD'!$J200&amp;'Score BD'!$B200</f>
        <v>Andrés Felipe Silva Martínez5</v>
      </c>
      <c r="D200" s="91" t="s">
        <v>148</v>
      </c>
      <c r="E200" s="92" t="s">
        <v>208</v>
      </c>
      <c r="F200" s="92" t="s">
        <v>212</v>
      </c>
      <c r="G200" s="60" t="str">
        <f t="shared" si="34"/>
        <v>Noviembre</v>
      </c>
      <c r="H200" s="67">
        <v>45975</v>
      </c>
      <c r="I200" s="243">
        <v>45974</v>
      </c>
      <c r="J200" s="57" t="s">
        <v>228</v>
      </c>
      <c r="K200" s="54">
        <f>IFERROR(VLOOKUP('Score BD'!$J200,Lista!A:B,2,0)," ")</f>
        <v>1120362660</v>
      </c>
      <c r="L200" s="61" t="s">
        <v>449</v>
      </c>
      <c r="M200" s="59" t="s">
        <v>4</v>
      </c>
      <c r="N200" s="59" t="s">
        <v>4</v>
      </c>
      <c r="O200" s="59" t="s">
        <v>4</v>
      </c>
      <c r="P200" s="59" t="s">
        <v>4</v>
      </c>
      <c r="Q200" s="96">
        <f t="shared" si="35"/>
        <v>1</v>
      </c>
      <c r="R200" s="59" t="s">
        <v>4</v>
      </c>
      <c r="S200" s="59" t="s">
        <v>4</v>
      </c>
      <c r="T200" s="59" t="s">
        <v>4</v>
      </c>
      <c r="U200" s="59" t="s">
        <v>4</v>
      </c>
      <c r="V200" s="45">
        <f t="shared" si="36"/>
        <v>1</v>
      </c>
      <c r="W200" s="59" t="s">
        <v>4</v>
      </c>
      <c r="X200" s="59" t="s">
        <v>4</v>
      </c>
      <c r="Y200" s="59" t="s">
        <v>4</v>
      </c>
      <c r="Z200" s="59" t="s">
        <v>4</v>
      </c>
      <c r="AA200" s="59" t="s">
        <v>4</v>
      </c>
      <c r="AB200" s="59" t="s">
        <v>4</v>
      </c>
      <c r="AC200" s="45">
        <f t="shared" si="37"/>
        <v>1.000000000000002</v>
      </c>
      <c r="AD200" s="43" t="s">
        <v>4</v>
      </c>
      <c r="AE200" s="43" t="s">
        <v>4</v>
      </c>
      <c r="AF200" s="97">
        <f t="shared" si="38"/>
        <v>1</v>
      </c>
      <c r="AG200" s="44">
        <f t="shared" si="39"/>
        <v>1.0000000000000004</v>
      </c>
      <c r="AH200" s="55">
        <f t="shared" si="40"/>
        <v>0</v>
      </c>
      <c r="AI200" s="55">
        <f>COUNTIF('Score BD'!$M200:$P200,"no")</f>
        <v>0</v>
      </c>
      <c r="AJ200" s="55">
        <f t="shared" si="41"/>
        <v>0</v>
      </c>
      <c r="AK200" s="55">
        <f t="shared" si="42"/>
        <v>0</v>
      </c>
      <c r="AL200" s="55">
        <f t="shared" si="43"/>
        <v>0</v>
      </c>
      <c r="AM200" s="104" t="s">
        <v>583</v>
      </c>
      <c r="AN200" s="55"/>
      <c r="AO200" s="61"/>
      <c r="AP200" s="61"/>
      <c r="AQ200" s="59" t="str">
        <f>IFERROR(_xlfn.XLOOKUP(Tabla1[[#This Row],[Cedula agente]],Lista!$B$2:$B$97,Lista!$G$2:$G$97)," ")</f>
        <v>Luisa Fernanda Benavides Castrillon</v>
      </c>
      <c r="AR200" s="59" t="s">
        <v>162</v>
      </c>
      <c r="AS200" s="55" t="str">
        <f>IFERROR(_xlfn.XLOOKUP(Tabla1[[#This Row],[Cedula agente]],Lista!$B$2:$B$97,Lista!$F$2:$F$97)," ")</f>
        <v>John Sebastian Roncancio Avendaño</v>
      </c>
      <c r="AT200" s="99">
        <v>0.95</v>
      </c>
      <c r="AU200" s="200">
        <f>+WEEKNUM('Score BD'!$H200)-WEEKNUM(DATE(YEAR('Score BD'!$H200),MONTH('Score BD'!$H200),1))+1</f>
        <v>3</v>
      </c>
    </row>
    <row r="201" spans="1:47" ht="17.45" customHeight="1" x14ac:dyDescent="0.3">
      <c r="A201" s="49" t="str">
        <f t="shared" si="33"/>
        <v>Ministerio de Educación Nacional</v>
      </c>
      <c r="B201" s="50">
        <f>+IFERROR(COUNTIF($J$3:J201,J201)," ")</f>
        <v>8</v>
      </c>
      <c r="C201" s="54" t="str">
        <f>+'Score BD'!$J201&amp;'Score BD'!$B201</f>
        <v>Cesar Rodrigo García8</v>
      </c>
      <c r="D201" s="91" t="s">
        <v>148</v>
      </c>
      <c r="E201" s="92" t="s">
        <v>165</v>
      </c>
      <c r="F201" s="92" t="s">
        <v>212</v>
      </c>
      <c r="G201" s="60" t="str">
        <f t="shared" si="34"/>
        <v>Noviembre</v>
      </c>
      <c r="H201" s="67">
        <v>45975</v>
      </c>
      <c r="I201" s="243">
        <v>45974</v>
      </c>
      <c r="J201" s="57" t="s">
        <v>172</v>
      </c>
      <c r="K201" s="54">
        <f>IFERROR(VLOOKUP('Score BD'!$J201,Lista!A:B,2,0)," ")</f>
        <v>1069257937</v>
      </c>
      <c r="L201" s="61" t="s">
        <v>422</v>
      </c>
      <c r="M201" s="59" t="s">
        <v>4</v>
      </c>
      <c r="N201" s="59" t="s">
        <v>4</v>
      </c>
      <c r="O201" s="59" t="s">
        <v>4</v>
      </c>
      <c r="P201" s="59" t="s">
        <v>4</v>
      </c>
      <c r="Q201" s="96">
        <f t="shared" si="35"/>
        <v>1</v>
      </c>
      <c r="R201" s="59" t="s">
        <v>4</v>
      </c>
      <c r="S201" s="59" t="s">
        <v>4</v>
      </c>
      <c r="T201" s="59" t="s">
        <v>4</v>
      </c>
      <c r="U201" s="59" t="s">
        <v>4</v>
      </c>
      <c r="V201" s="45">
        <f t="shared" si="36"/>
        <v>1</v>
      </c>
      <c r="W201" s="59" t="s">
        <v>4</v>
      </c>
      <c r="X201" s="59" t="s">
        <v>4</v>
      </c>
      <c r="Y201" s="59" t="s">
        <v>4</v>
      </c>
      <c r="Z201" s="59" t="s">
        <v>4</v>
      </c>
      <c r="AA201" s="59" t="s">
        <v>4</v>
      </c>
      <c r="AB201" s="59" t="s">
        <v>4</v>
      </c>
      <c r="AC201" s="45">
        <f t="shared" si="37"/>
        <v>1.000000000000002</v>
      </c>
      <c r="AD201" s="43" t="s">
        <v>4</v>
      </c>
      <c r="AE201" s="43" t="s">
        <v>4</v>
      </c>
      <c r="AF201" s="97">
        <f t="shared" si="38"/>
        <v>1</v>
      </c>
      <c r="AG201" s="44">
        <f t="shared" si="39"/>
        <v>1.0000000000000004</v>
      </c>
      <c r="AH201" s="55">
        <f t="shared" si="40"/>
        <v>0</v>
      </c>
      <c r="AI201" s="55">
        <f>COUNTIF('Score BD'!$M201:$P201,"no")</f>
        <v>0</v>
      </c>
      <c r="AJ201" s="55">
        <f t="shared" si="41"/>
        <v>0</v>
      </c>
      <c r="AK201" s="55">
        <f t="shared" si="42"/>
        <v>0</v>
      </c>
      <c r="AL201" s="55">
        <f t="shared" si="43"/>
        <v>0</v>
      </c>
      <c r="AM201" s="104" t="s">
        <v>583</v>
      </c>
      <c r="AN201" s="55"/>
      <c r="AO201" s="61"/>
      <c r="AP201" s="61"/>
      <c r="AQ201" s="59" t="str">
        <f>IFERROR(_xlfn.XLOOKUP(Tabla1[[#This Row],[Cedula agente]],Lista!$B$2:$B$97,Lista!$G$2:$G$97)," ")</f>
        <v>Luisa Fernanda Benavides Castrillon</v>
      </c>
      <c r="AR201" s="59" t="s">
        <v>162</v>
      </c>
      <c r="AS201" s="55" t="str">
        <f>IFERROR(_xlfn.XLOOKUP(Tabla1[[#This Row],[Cedula agente]],Lista!$B$2:$B$97,Lista!$F$2:$F$97)," ")</f>
        <v>John Sebastian Roncancio Avendaño</v>
      </c>
      <c r="AT201" s="99">
        <v>0.95</v>
      </c>
      <c r="AU201" s="200">
        <f>+WEEKNUM('Score BD'!$H201)-WEEKNUM(DATE(YEAR('Score BD'!$H201),MONTH('Score BD'!$H201),1))+1</f>
        <v>3</v>
      </c>
    </row>
    <row r="202" spans="1:47" ht="17.45" customHeight="1" x14ac:dyDescent="0.3">
      <c r="A202" s="49" t="str">
        <f t="shared" si="33"/>
        <v>Ministerio de Educación Nacional</v>
      </c>
      <c r="B202" s="50">
        <f>+IFERROR(COUNTIF($J$3:J202,J202)," ")</f>
        <v>9</v>
      </c>
      <c r="C202" s="54" t="str">
        <f>+'Score BD'!$J202&amp;'Score BD'!$B202</f>
        <v>Cesar Rodrigo García9</v>
      </c>
      <c r="D202" s="91" t="s">
        <v>148</v>
      </c>
      <c r="E202" s="92" t="s">
        <v>165</v>
      </c>
      <c r="F202" s="92" t="s">
        <v>212</v>
      </c>
      <c r="G202" s="60" t="str">
        <f t="shared" si="34"/>
        <v>Noviembre</v>
      </c>
      <c r="H202" s="67">
        <v>45975</v>
      </c>
      <c r="I202" s="243">
        <v>45974</v>
      </c>
      <c r="J202" s="57" t="s">
        <v>172</v>
      </c>
      <c r="K202" s="54">
        <f>IFERROR(VLOOKUP('Score BD'!$J202,Lista!A:B,2,0)," ")</f>
        <v>1069257937</v>
      </c>
      <c r="L202" s="61" t="s">
        <v>450</v>
      </c>
      <c r="M202" s="59" t="s">
        <v>4</v>
      </c>
      <c r="N202" s="59" t="s">
        <v>4</v>
      </c>
      <c r="O202" s="59" t="s">
        <v>4</v>
      </c>
      <c r="P202" s="59" t="s">
        <v>4</v>
      </c>
      <c r="Q202" s="96">
        <f t="shared" si="35"/>
        <v>1</v>
      </c>
      <c r="R202" s="59" t="s">
        <v>4</v>
      </c>
      <c r="S202" s="59" t="s">
        <v>4</v>
      </c>
      <c r="T202" s="59" t="s">
        <v>4</v>
      </c>
      <c r="U202" s="59" t="s">
        <v>4</v>
      </c>
      <c r="V202" s="45">
        <f t="shared" si="36"/>
        <v>1</v>
      </c>
      <c r="W202" s="59" t="s">
        <v>4</v>
      </c>
      <c r="X202" s="59" t="s">
        <v>4</v>
      </c>
      <c r="Y202" s="59" t="s">
        <v>4</v>
      </c>
      <c r="Z202" s="59" t="s">
        <v>4</v>
      </c>
      <c r="AA202" s="59" t="s">
        <v>4</v>
      </c>
      <c r="AB202" s="59" t="s">
        <v>4</v>
      </c>
      <c r="AC202" s="45">
        <f t="shared" si="37"/>
        <v>1.000000000000002</v>
      </c>
      <c r="AD202" s="43" t="s">
        <v>4</v>
      </c>
      <c r="AE202" s="43" t="s">
        <v>4</v>
      </c>
      <c r="AF202" s="97">
        <f t="shared" si="38"/>
        <v>1</v>
      </c>
      <c r="AG202" s="44">
        <f t="shared" si="39"/>
        <v>1.0000000000000004</v>
      </c>
      <c r="AH202" s="55">
        <f t="shared" si="40"/>
        <v>0</v>
      </c>
      <c r="AI202" s="55">
        <f>COUNTIF('Score BD'!$M202:$P202,"no")</f>
        <v>0</v>
      </c>
      <c r="AJ202" s="55">
        <f t="shared" si="41"/>
        <v>0</v>
      </c>
      <c r="AK202" s="55">
        <f t="shared" si="42"/>
        <v>0</v>
      </c>
      <c r="AL202" s="55">
        <f t="shared" si="43"/>
        <v>0</v>
      </c>
      <c r="AM202" s="104" t="s">
        <v>583</v>
      </c>
      <c r="AN202" s="55"/>
      <c r="AO202" s="61"/>
      <c r="AP202" s="61"/>
      <c r="AQ202" s="59" t="str">
        <f>IFERROR(_xlfn.XLOOKUP(Tabla1[[#This Row],[Cedula agente]],Lista!$B$2:$B$97,Lista!$G$2:$G$97)," ")</f>
        <v>Luisa Fernanda Benavides Castrillon</v>
      </c>
      <c r="AR202" s="59" t="s">
        <v>162</v>
      </c>
      <c r="AS202" s="55" t="str">
        <f>IFERROR(_xlfn.XLOOKUP(Tabla1[[#This Row],[Cedula agente]],Lista!$B$2:$B$97,Lista!$F$2:$F$97)," ")</f>
        <v>John Sebastian Roncancio Avendaño</v>
      </c>
      <c r="AT202" s="99">
        <v>0.95</v>
      </c>
      <c r="AU202" s="200">
        <f>+WEEKNUM('Score BD'!$H202)-WEEKNUM(DATE(YEAR('Score BD'!$H202),MONTH('Score BD'!$H202),1))+1</f>
        <v>3</v>
      </c>
    </row>
    <row r="203" spans="1:47" ht="17.45" customHeight="1" x14ac:dyDescent="0.3">
      <c r="A203" s="49" t="str">
        <f t="shared" si="33"/>
        <v>Ministerio de Educación Nacional</v>
      </c>
      <c r="B203" s="50">
        <f>+IFERROR(COUNTIF($J$3:J203,J203)," ")</f>
        <v>8</v>
      </c>
      <c r="C203" s="54" t="str">
        <f>+'Score BD'!$J203&amp;'Score BD'!$B203</f>
        <v>Cristian Enrique Benitez Rodriguez8</v>
      </c>
      <c r="D203" s="91" t="s">
        <v>148</v>
      </c>
      <c r="E203" s="92" t="s">
        <v>165</v>
      </c>
      <c r="F203" s="92" t="s">
        <v>212</v>
      </c>
      <c r="G203" s="60" t="str">
        <f t="shared" si="34"/>
        <v>Noviembre</v>
      </c>
      <c r="H203" s="67">
        <v>45975</v>
      </c>
      <c r="I203" s="243">
        <v>45974</v>
      </c>
      <c r="J203" s="57" t="s">
        <v>173</v>
      </c>
      <c r="K203" s="54">
        <f>IFERROR(VLOOKUP('Score BD'!$J203,Lista!A:B,2,0)," ")</f>
        <v>1026574814</v>
      </c>
      <c r="L203" s="61" t="s">
        <v>451</v>
      </c>
      <c r="M203" s="59" t="s">
        <v>4</v>
      </c>
      <c r="N203" s="59" t="s">
        <v>4</v>
      </c>
      <c r="O203" s="59" t="s">
        <v>4</v>
      </c>
      <c r="P203" s="59" t="s">
        <v>4</v>
      </c>
      <c r="Q203" s="96">
        <f t="shared" si="35"/>
        <v>1</v>
      </c>
      <c r="R203" s="59" t="s">
        <v>4</v>
      </c>
      <c r="S203" s="59" t="s">
        <v>4</v>
      </c>
      <c r="T203" s="59" t="s">
        <v>4</v>
      </c>
      <c r="U203" s="59" t="s">
        <v>4</v>
      </c>
      <c r="V203" s="45">
        <f t="shared" si="36"/>
        <v>1</v>
      </c>
      <c r="W203" s="59" t="s">
        <v>4</v>
      </c>
      <c r="X203" s="59" t="s">
        <v>4</v>
      </c>
      <c r="Y203" s="59" t="s">
        <v>4</v>
      </c>
      <c r="Z203" s="59" t="s">
        <v>4</v>
      </c>
      <c r="AA203" s="59" t="s">
        <v>4</v>
      </c>
      <c r="AB203" s="59" t="s">
        <v>4</v>
      </c>
      <c r="AC203" s="45">
        <f t="shared" si="37"/>
        <v>1.000000000000002</v>
      </c>
      <c r="AD203" s="43" t="s">
        <v>4</v>
      </c>
      <c r="AE203" s="43" t="s">
        <v>4</v>
      </c>
      <c r="AF203" s="97">
        <f t="shared" si="38"/>
        <v>1</v>
      </c>
      <c r="AG203" s="44">
        <f t="shared" si="39"/>
        <v>1.0000000000000004</v>
      </c>
      <c r="AH203" s="55">
        <f t="shared" si="40"/>
        <v>0</v>
      </c>
      <c r="AI203" s="55">
        <f>COUNTIF('Score BD'!$M203:$P203,"no")</f>
        <v>0</v>
      </c>
      <c r="AJ203" s="55">
        <f t="shared" si="41"/>
        <v>0</v>
      </c>
      <c r="AK203" s="55">
        <f t="shared" si="42"/>
        <v>0</v>
      </c>
      <c r="AL203" s="55">
        <f t="shared" si="43"/>
        <v>0</v>
      </c>
      <c r="AM203" s="104" t="s">
        <v>583</v>
      </c>
      <c r="AN203" s="55"/>
      <c r="AO203" s="61"/>
      <c r="AP203" s="61"/>
      <c r="AQ203" s="59" t="str">
        <f>IFERROR(_xlfn.XLOOKUP(Tabla1[[#This Row],[Cedula agente]],Lista!$B$2:$B$97,Lista!$G$2:$G$97)," ")</f>
        <v>Luisa Fernanda Benavides Castrillon</v>
      </c>
      <c r="AR203" s="59" t="s">
        <v>162</v>
      </c>
      <c r="AS203" s="55" t="str">
        <f>IFERROR(_xlfn.XLOOKUP(Tabla1[[#This Row],[Cedula agente]],Lista!$B$2:$B$97,Lista!$F$2:$F$97)," ")</f>
        <v>John Sebastian Roncancio Avendaño</v>
      </c>
      <c r="AT203" s="99">
        <v>0.95</v>
      </c>
      <c r="AU203" s="200">
        <f>+WEEKNUM('Score BD'!$H203)-WEEKNUM(DATE(YEAR('Score BD'!$H203),MONTH('Score BD'!$H203),1))+1</f>
        <v>3</v>
      </c>
    </row>
    <row r="204" spans="1:47" ht="17.45" customHeight="1" x14ac:dyDescent="0.3">
      <c r="A204" s="49" t="str">
        <f t="shared" si="33"/>
        <v>Ministerio de Educación Nacional</v>
      </c>
      <c r="B204" s="50">
        <f>+IFERROR(COUNTIF($J$3:J204,J204)," ")</f>
        <v>22</v>
      </c>
      <c r="C204" s="54" t="str">
        <f>+'Score BD'!$J204&amp;'Score BD'!$B204</f>
        <v>Erika Natalia Ramírez Herrera22</v>
      </c>
      <c r="D204" s="91" t="s">
        <v>148</v>
      </c>
      <c r="E204" s="92" t="s">
        <v>164</v>
      </c>
      <c r="F204" s="92" t="s">
        <v>212</v>
      </c>
      <c r="G204" s="60" t="str">
        <f t="shared" si="34"/>
        <v>Noviembre</v>
      </c>
      <c r="H204" s="67">
        <v>45975</v>
      </c>
      <c r="I204" s="243">
        <v>45974</v>
      </c>
      <c r="J204" s="57" t="s">
        <v>174</v>
      </c>
      <c r="K204" s="54">
        <f>IFERROR(VLOOKUP('Score BD'!$J204,Lista!A:B,2,0)," ")</f>
        <v>1032367072</v>
      </c>
      <c r="L204" s="61" t="s">
        <v>452</v>
      </c>
      <c r="M204" s="59" t="s">
        <v>4</v>
      </c>
      <c r="N204" s="59" t="s">
        <v>4</v>
      </c>
      <c r="O204" s="59" t="s">
        <v>4</v>
      </c>
      <c r="P204" s="59" t="s">
        <v>4</v>
      </c>
      <c r="Q204" s="96">
        <f t="shared" si="35"/>
        <v>1</v>
      </c>
      <c r="R204" s="59" t="s">
        <v>4</v>
      </c>
      <c r="S204" s="59" t="s">
        <v>4</v>
      </c>
      <c r="T204" s="59" t="s">
        <v>4</v>
      </c>
      <c r="U204" s="59" t="s">
        <v>4</v>
      </c>
      <c r="V204" s="45">
        <f t="shared" si="36"/>
        <v>1</v>
      </c>
      <c r="W204" s="59" t="s">
        <v>4</v>
      </c>
      <c r="X204" s="59" t="s">
        <v>4</v>
      </c>
      <c r="Y204" s="59" t="s">
        <v>4</v>
      </c>
      <c r="Z204" s="59" t="s">
        <v>4</v>
      </c>
      <c r="AA204" s="59" t="s">
        <v>4</v>
      </c>
      <c r="AB204" s="59" t="s">
        <v>4</v>
      </c>
      <c r="AC204" s="45">
        <f t="shared" si="37"/>
        <v>1.000000000000002</v>
      </c>
      <c r="AD204" s="43" t="s">
        <v>4</v>
      </c>
      <c r="AE204" s="43" t="s">
        <v>4</v>
      </c>
      <c r="AF204" s="97">
        <f t="shared" si="38"/>
        <v>1</v>
      </c>
      <c r="AG204" s="44">
        <f t="shared" si="39"/>
        <v>1.0000000000000004</v>
      </c>
      <c r="AH204" s="55">
        <f t="shared" si="40"/>
        <v>0</v>
      </c>
      <c r="AI204" s="55">
        <f>COUNTIF('Score BD'!$M204:$P204,"no")</f>
        <v>0</v>
      </c>
      <c r="AJ204" s="55">
        <f t="shared" si="41"/>
        <v>0</v>
      </c>
      <c r="AK204" s="55">
        <f t="shared" si="42"/>
        <v>0</v>
      </c>
      <c r="AL204" s="55">
        <f t="shared" si="43"/>
        <v>0</v>
      </c>
      <c r="AM204" s="104" t="s">
        <v>583</v>
      </c>
      <c r="AN204" s="55"/>
      <c r="AO204" s="61"/>
      <c r="AP204" s="61"/>
      <c r="AQ204" s="59" t="str">
        <f>IFERROR(_xlfn.XLOOKUP(Tabla1[[#This Row],[Cedula agente]],Lista!$B$2:$B$97,Lista!$G$2:$G$97)," ")</f>
        <v>Luisa Fernanda Benavides Castrillon</v>
      </c>
      <c r="AR204" s="59" t="s">
        <v>162</v>
      </c>
      <c r="AS204" s="55" t="str">
        <f>IFERROR(_xlfn.XLOOKUP(Tabla1[[#This Row],[Cedula agente]],Lista!$B$2:$B$97,Lista!$F$2:$F$97)," ")</f>
        <v>John Sebastian Roncancio Avendaño</v>
      </c>
      <c r="AT204" s="99">
        <v>0.95</v>
      </c>
      <c r="AU204" s="200">
        <f>+WEEKNUM('Score BD'!$H204)-WEEKNUM(DATE(YEAR('Score BD'!$H204),MONTH('Score BD'!$H204),1))+1</f>
        <v>3</v>
      </c>
    </row>
    <row r="205" spans="1:47" ht="17.45" customHeight="1" x14ac:dyDescent="0.3">
      <c r="A205" s="49" t="str">
        <f t="shared" si="33"/>
        <v>Ministerio de Educación Nacional</v>
      </c>
      <c r="B205" s="50">
        <f>+IFERROR(COUNTIF($J$3:J205,J205)," ")</f>
        <v>23</v>
      </c>
      <c r="C205" s="54" t="str">
        <f>+'Score BD'!$J205&amp;'Score BD'!$B205</f>
        <v>Erika Natalia Ramírez Herrera23</v>
      </c>
      <c r="D205" s="91" t="s">
        <v>148</v>
      </c>
      <c r="E205" s="92" t="s">
        <v>164</v>
      </c>
      <c r="F205" s="92" t="s">
        <v>212</v>
      </c>
      <c r="G205" s="60" t="str">
        <f t="shared" si="34"/>
        <v>Noviembre</v>
      </c>
      <c r="H205" s="67">
        <v>45975</v>
      </c>
      <c r="I205" s="243">
        <v>45974</v>
      </c>
      <c r="J205" s="57" t="s">
        <v>174</v>
      </c>
      <c r="K205" s="54">
        <f>IFERROR(VLOOKUP('Score BD'!$J205,Lista!A:B,2,0)," ")</f>
        <v>1032367072</v>
      </c>
      <c r="L205" s="61" t="s">
        <v>453</v>
      </c>
      <c r="M205" s="59" t="s">
        <v>4</v>
      </c>
      <c r="N205" s="59" t="s">
        <v>4</v>
      </c>
      <c r="O205" s="59" t="s">
        <v>4</v>
      </c>
      <c r="P205" s="59" t="s">
        <v>4</v>
      </c>
      <c r="Q205" s="96">
        <f t="shared" si="35"/>
        <v>1</v>
      </c>
      <c r="R205" s="59" t="s">
        <v>4</v>
      </c>
      <c r="S205" s="59" t="s">
        <v>4</v>
      </c>
      <c r="T205" s="59" t="s">
        <v>4</v>
      </c>
      <c r="U205" s="59" t="s">
        <v>4</v>
      </c>
      <c r="V205" s="45">
        <f t="shared" si="36"/>
        <v>1</v>
      </c>
      <c r="W205" s="59" t="s">
        <v>4</v>
      </c>
      <c r="X205" s="59" t="s">
        <v>4</v>
      </c>
      <c r="Y205" s="59" t="s">
        <v>4</v>
      </c>
      <c r="Z205" s="59" t="s">
        <v>4</v>
      </c>
      <c r="AA205" s="59" t="s">
        <v>4</v>
      </c>
      <c r="AB205" s="59" t="s">
        <v>4</v>
      </c>
      <c r="AC205" s="45">
        <f t="shared" si="37"/>
        <v>1.000000000000002</v>
      </c>
      <c r="AD205" s="43" t="s">
        <v>4</v>
      </c>
      <c r="AE205" s="43" t="s">
        <v>4</v>
      </c>
      <c r="AF205" s="97">
        <f t="shared" si="38"/>
        <v>1</v>
      </c>
      <c r="AG205" s="44">
        <f t="shared" si="39"/>
        <v>1.0000000000000004</v>
      </c>
      <c r="AH205" s="55">
        <f t="shared" si="40"/>
        <v>0</v>
      </c>
      <c r="AI205" s="55">
        <f>COUNTIF('Score BD'!$M205:$P205,"no")</f>
        <v>0</v>
      </c>
      <c r="AJ205" s="55">
        <f t="shared" si="41"/>
        <v>0</v>
      </c>
      <c r="AK205" s="55">
        <f t="shared" si="42"/>
        <v>0</v>
      </c>
      <c r="AL205" s="55">
        <f t="shared" si="43"/>
        <v>0</v>
      </c>
      <c r="AM205" s="104" t="s">
        <v>583</v>
      </c>
      <c r="AN205" s="55"/>
      <c r="AO205" s="61"/>
      <c r="AP205" s="61"/>
      <c r="AQ205" s="59" t="str">
        <f>IFERROR(_xlfn.XLOOKUP(Tabla1[[#This Row],[Cedula agente]],Lista!$B$2:$B$97,Lista!$G$2:$G$97)," ")</f>
        <v>Luisa Fernanda Benavides Castrillon</v>
      </c>
      <c r="AR205" s="59" t="s">
        <v>162</v>
      </c>
      <c r="AS205" s="55" t="str">
        <f>IFERROR(_xlfn.XLOOKUP(Tabla1[[#This Row],[Cedula agente]],Lista!$B$2:$B$97,Lista!$F$2:$F$97)," ")</f>
        <v>John Sebastian Roncancio Avendaño</v>
      </c>
      <c r="AT205" s="99">
        <v>0.95</v>
      </c>
      <c r="AU205" s="200">
        <f>+WEEKNUM('Score BD'!$H205)-WEEKNUM(DATE(YEAR('Score BD'!$H205),MONTH('Score BD'!$H205),1))+1</f>
        <v>3</v>
      </c>
    </row>
    <row r="206" spans="1:47" ht="17.45" customHeight="1" x14ac:dyDescent="0.3">
      <c r="A206" s="49" t="str">
        <f t="shared" si="33"/>
        <v>Ministerio de Educación Nacional</v>
      </c>
      <c r="B206" s="50">
        <f>+IFERROR(COUNTIF($J$3:J206,J206)," ")</f>
        <v>24</v>
      </c>
      <c r="C206" s="54" t="str">
        <f>+'Score BD'!$J206&amp;'Score BD'!$B206</f>
        <v>Erika Natalia Ramírez Herrera24</v>
      </c>
      <c r="D206" s="91" t="s">
        <v>148</v>
      </c>
      <c r="E206" s="92" t="s">
        <v>164</v>
      </c>
      <c r="F206" s="92" t="s">
        <v>212</v>
      </c>
      <c r="G206" s="60" t="str">
        <f t="shared" si="34"/>
        <v>Noviembre</v>
      </c>
      <c r="H206" s="67">
        <v>45975</v>
      </c>
      <c r="I206" s="243">
        <v>45974</v>
      </c>
      <c r="J206" s="57" t="s">
        <v>174</v>
      </c>
      <c r="K206" s="54">
        <f>IFERROR(VLOOKUP('Score BD'!$J206,Lista!A:B,2,0)," ")</f>
        <v>1032367072</v>
      </c>
      <c r="L206" s="61" t="s">
        <v>454</v>
      </c>
      <c r="M206" s="59" t="s">
        <v>4</v>
      </c>
      <c r="N206" s="59" t="s">
        <v>4</v>
      </c>
      <c r="O206" s="59" t="s">
        <v>4</v>
      </c>
      <c r="P206" s="59" t="s">
        <v>4</v>
      </c>
      <c r="Q206" s="96">
        <f t="shared" si="35"/>
        <v>1</v>
      </c>
      <c r="R206" s="59" t="s">
        <v>4</v>
      </c>
      <c r="S206" s="59" t="s">
        <v>4</v>
      </c>
      <c r="T206" s="59" t="s">
        <v>4</v>
      </c>
      <c r="U206" s="59" t="s">
        <v>4</v>
      </c>
      <c r="V206" s="45">
        <f t="shared" si="36"/>
        <v>1</v>
      </c>
      <c r="W206" s="59" t="s">
        <v>4</v>
      </c>
      <c r="X206" s="59" t="s">
        <v>4</v>
      </c>
      <c r="Y206" s="59" t="s">
        <v>4</v>
      </c>
      <c r="Z206" s="59" t="s">
        <v>4</v>
      </c>
      <c r="AA206" s="59" t="s">
        <v>4</v>
      </c>
      <c r="AB206" s="59" t="s">
        <v>4</v>
      </c>
      <c r="AC206" s="45">
        <f t="shared" si="37"/>
        <v>1.000000000000002</v>
      </c>
      <c r="AD206" s="43" t="s">
        <v>4</v>
      </c>
      <c r="AE206" s="43" t="s">
        <v>4</v>
      </c>
      <c r="AF206" s="97">
        <f t="shared" si="38"/>
        <v>1</v>
      </c>
      <c r="AG206" s="44">
        <f t="shared" si="39"/>
        <v>1.0000000000000004</v>
      </c>
      <c r="AH206" s="55">
        <f t="shared" si="40"/>
        <v>0</v>
      </c>
      <c r="AI206" s="55">
        <f>COUNTIF('Score BD'!$M206:$P206,"no")</f>
        <v>0</v>
      </c>
      <c r="AJ206" s="55">
        <f t="shared" si="41"/>
        <v>0</v>
      </c>
      <c r="AK206" s="55">
        <f t="shared" si="42"/>
        <v>0</v>
      </c>
      <c r="AL206" s="55">
        <f t="shared" si="43"/>
        <v>0</v>
      </c>
      <c r="AM206" s="104" t="s">
        <v>583</v>
      </c>
      <c r="AN206" s="55"/>
      <c r="AO206" s="61"/>
      <c r="AP206" s="61"/>
      <c r="AQ206" s="59" t="str">
        <f>IFERROR(_xlfn.XLOOKUP(Tabla1[[#This Row],[Cedula agente]],Lista!$B$2:$B$97,Lista!$G$2:$G$97)," ")</f>
        <v>Luisa Fernanda Benavides Castrillon</v>
      </c>
      <c r="AR206" s="59" t="s">
        <v>162</v>
      </c>
      <c r="AS206" s="55" t="str">
        <f>IFERROR(_xlfn.XLOOKUP(Tabla1[[#This Row],[Cedula agente]],Lista!$B$2:$B$97,Lista!$F$2:$F$97)," ")</f>
        <v>John Sebastian Roncancio Avendaño</v>
      </c>
      <c r="AT206" s="99">
        <v>0.95</v>
      </c>
      <c r="AU206" s="200">
        <f>+WEEKNUM('Score BD'!$H206)-WEEKNUM(DATE(YEAR('Score BD'!$H206),MONTH('Score BD'!$H206),1))+1</f>
        <v>3</v>
      </c>
    </row>
    <row r="207" spans="1:47" ht="17.45" customHeight="1" x14ac:dyDescent="0.3">
      <c r="A207" s="49" t="str">
        <f t="shared" si="33"/>
        <v>Ministerio de Educación Nacional</v>
      </c>
      <c r="B207" s="50">
        <f>+IFERROR(COUNTIF($J$3:J207,J207)," ")</f>
        <v>9</v>
      </c>
      <c r="C207" s="54" t="str">
        <f>+'Score BD'!$J207&amp;'Score BD'!$B207</f>
        <v>Henry Eduardo Padilla Castilla9</v>
      </c>
      <c r="D207" s="91" t="s">
        <v>148</v>
      </c>
      <c r="E207" s="92" t="s">
        <v>165</v>
      </c>
      <c r="F207" s="92" t="s">
        <v>212</v>
      </c>
      <c r="G207" s="60" t="str">
        <f t="shared" si="34"/>
        <v>Noviembre</v>
      </c>
      <c r="H207" s="67">
        <v>45975</v>
      </c>
      <c r="I207" s="243">
        <v>45974</v>
      </c>
      <c r="J207" s="57" t="s">
        <v>175</v>
      </c>
      <c r="K207" s="54">
        <f>IFERROR(VLOOKUP('Score BD'!$J207,Lista!A:B,2,0)," ")</f>
        <v>1063968280</v>
      </c>
      <c r="L207" s="61" t="s">
        <v>455</v>
      </c>
      <c r="M207" s="59" t="s">
        <v>4</v>
      </c>
      <c r="N207" s="59" t="s">
        <v>4</v>
      </c>
      <c r="O207" s="59" t="s">
        <v>4</v>
      </c>
      <c r="P207" s="59" t="s">
        <v>4</v>
      </c>
      <c r="Q207" s="96">
        <f t="shared" si="35"/>
        <v>1</v>
      </c>
      <c r="R207" s="59" t="s">
        <v>4</v>
      </c>
      <c r="S207" s="59" t="s">
        <v>4</v>
      </c>
      <c r="T207" s="59" t="s">
        <v>4</v>
      </c>
      <c r="U207" s="59" t="s">
        <v>4</v>
      </c>
      <c r="V207" s="45">
        <f t="shared" si="36"/>
        <v>1</v>
      </c>
      <c r="W207" s="59" t="s">
        <v>4</v>
      </c>
      <c r="X207" s="59" t="s">
        <v>4</v>
      </c>
      <c r="Y207" s="59" t="s">
        <v>4</v>
      </c>
      <c r="Z207" s="59" t="s">
        <v>4</v>
      </c>
      <c r="AA207" s="59" t="s">
        <v>4</v>
      </c>
      <c r="AB207" s="59" t="s">
        <v>4</v>
      </c>
      <c r="AC207" s="45">
        <f t="shared" si="37"/>
        <v>1.000000000000002</v>
      </c>
      <c r="AD207" s="43" t="s">
        <v>4</v>
      </c>
      <c r="AE207" s="43" t="s">
        <v>4</v>
      </c>
      <c r="AF207" s="97">
        <f t="shared" si="38"/>
        <v>1</v>
      </c>
      <c r="AG207" s="44">
        <f t="shared" si="39"/>
        <v>1.0000000000000004</v>
      </c>
      <c r="AH207" s="55">
        <f t="shared" si="40"/>
        <v>0</v>
      </c>
      <c r="AI207" s="55">
        <f>COUNTIF('Score BD'!$M207:$P207,"no")</f>
        <v>0</v>
      </c>
      <c r="AJ207" s="55">
        <f t="shared" si="41"/>
        <v>0</v>
      </c>
      <c r="AK207" s="55">
        <f t="shared" si="42"/>
        <v>0</v>
      </c>
      <c r="AL207" s="55">
        <f t="shared" si="43"/>
        <v>0</v>
      </c>
      <c r="AM207" s="104" t="s">
        <v>583</v>
      </c>
      <c r="AN207" s="55"/>
      <c r="AO207" s="61"/>
      <c r="AP207" s="61"/>
      <c r="AQ207" s="59" t="str">
        <f>IFERROR(_xlfn.XLOOKUP(Tabla1[[#This Row],[Cedula agente]],Lista!$B$2:$B$97,Lista!$G$2:$G$97)," ")</f>
        <v>Luisa Fernanda Benavides Castrillon</v>
      </c>
      <c r="AR207" s="59" t="s">
        <v>162</v>
      </c>
      <c r="AS207" s="55" t="str">
        <f>IFERROR(_xlfn.XLOOKUP(Tabla1[[#This Row],[Cedula agente]],Lista!$B$2:$B$97,Lista!$F$2:$F$97)," ")</f>
        <v>John Sebastian Roncancio Avendaño</v>
      </c>
      <c r="AT207" s="99">
        <v>0.95</v>
      </c>
      <c r="AU207" s="200">
        <f>+WEEKNUM('Score BD'!$H207)-WEEKNUM(DATE(YEAR('Score BD'!$H207),MONTH('Score BD'!$H207),1))+1</f>
        <v>3</v>
      </c>
    </row>
    <row r="208" spans="1:47" ht="17.45" customHeight="1" x14ac:dyDescent="0.3">
      <c r="A208" s="49" t="str">
        <f t="shared" si="33"/>
        <v>Ministerio de Educación Nacional</v>
      </c>
      <c r="B208" s="50">
        <f>+IFERROR(COUNTIF($J$3:J208,J208)," ")</f>
        <v>15</v>
      </c>
      <c r="C208" s="54" t="str">
        <f>+'Score BD'!$J208&amp;'Score BD'!$B208</f>
        <v>Ingrid Carolina Monsalve Quintero15</v>
      </c>
      <c r="D208" s="91" t="s">
        <v>148</v>
      </c>
      <c r="E208" s="92" t="s">
        <v>164</v>
      </c>
      <c r="F208" s="92" t="s">
        <v>212</v>
      </c>
      <c r="G208" s="60" t="str">
        <f t="shared" si="34"/>
        <v>Noviembre</v>
      </c>
      <c r="H208" s="67">
        <v>45975</v>
      </c>
      <c r="I208" s="243">
        <v>45974</v>
      </c>
      <c r="J208" s="57" t="s">
        <v>176</v>
      </c>
      <c r="K208" s="54">
        <f>IFERROR(VLOOKUP('Score BD'!$J208,Lista!A:B,2,0)," ")</f>
        <v>52805909</v>
      </c>
      <c r="L208" s="61" t="s">
        <v>456</v>
      </c>
      <c r="M208" s="59" t="s">
        <v>4</v>
      </c>
      <c r="N208" s="59" t="s">
        <v>4</v>
      </c>
      <c r="O208" s="59" t="s">
        <v>4</v>
      </c>
      <c r="P208" s="59" t="s">
        <v>4</v>
      </c>
      <c r="Q208" s="96">
        <f t="shared" si="35"/>
        <v>1</v>
      </c>
      <c r="R208" s="59" t="s">
        <v>4</v>
      </c>
      <c r="S208" s="59" t="s">
        <v>4</v>
      </c>
      <c r="T208" s="59" t="s">
        <v>4</v>
      </c>
      <c r="U208" s="59" t="s">
        <v>4</v>
      </c>
      <c r="V208" s="45">
        <f t="shared" si="36"/>
        <v>1</v>
      </c>
      <c r="W208" s="59" t="s">
        <v>4</v>
      </c>
      <c r="X208" s="59" t="s">
        <v>4</v>
      </c>
      <c r="Y208" s="59" t="s">
        <v>4</v>
      </c>
      <c r="Z208" s="59" t="s">
        <v>4</v>
      </c>
      <c r="AA208" s="59" t="s">
        <v>4</v>
      </c>
      <c r="AB208" s="59" t="s">
        <v>4</v>
      </c>
      <c r="AC208" s="45">
        <f t="shared" si="37"/>
        <v>1.000000000000002</v>
      </c>
      <c r="AD208" s="43" t="s">
        <v>4</v>
      </c>
      <c r="AE208" s="43" t="s">
        <v>4</v>
      </c>
      <c r="AF208" s="97">
        <f t="shared" si="38"/>
        <v>1</v>
      </c>
      <c r="AG208" s="44">
        <f t="shared" si="39"/>
        <v>1.0000000000000004</v>
      </c>
      <c r="AH208" s="55">
        <f t="shared" si="40"/>
        <v>0</v>
      </c>
      <c r="AI208" s="55">
        <f>COUNTIF('Score BD'!$M208:$P208,"no")</f>
        <v>0</v>
      </c>
      <c r="AJ208" s="55">
        <f t="shared" si="41"/>
        <v>0</v>
      </c>
      <c r="AK208" s="55">
        <f t="shared" si="42"/>
        <v>0</v>
      </c>
      <c r="AL208" s="55">
        <f t="shared" si="43"/>
        <v>0</v>
      </c>
      <c r="AM208" s="104" t="s">
        <v>583</v>
      </c>
      <c r="AN208" s="55"/>
      <c r="AO208" s="61"/>
      <c r="AP208" s="61"/>
      <c r="AQ208" s="59" t="str">
        <f>IFERROR(_xlfn.XLOOKUP(Tabla1[[#This Row],[Cedula agente]],Lista!$B$2:$B$97,Lista!$G$2:$G$97)," ")</f>
        <v>Luisa Fernanda Benavides Castrillon</v>
      </c>
      <c r="AR208" s="59" t="s">
        <v>162</v>
      </c>
      <c r="AS208" s="55" t="str">
        <f>IFERROR(_xlfn.XLOOKUP(Tabla1[[#This Row],[Cedula agente]],Lista!$B$2:$B$97,Lista!$F$2:$F$97)," ")</f>
        <v>John Sebastian Roncancio Avendaño</v>
      </c>
      <c r="AT208" s="99">
        <v>0.95</v>
      </c>
      <c r="AU208" s="200">
        <f>+WEEKNUM('Score BD'!$H208)-WEEKNUM(DATE(YEAR('Score BD'!$H208),MONTH('Score BD'!$H208),1))+1</f>
        <v>3</v>
      </c>
    </row>
    <row r="209" spans="1:47" ht="17.45" customHeight="1" x14ac:dyDescent="0.3">
      <c r="A209" s="49" t="str">
        <f t="shared" si="33"/>
        <v>Ministerio de Educación Nacional</v>
      </c>
      <c r="B209" s="50">
        <f>+IFERROR(COUNTIF($J$3:J209,J209)," ")</f>
        <v>16</v>
      </c>
      <c r="C209" s="54" t="str">
        <f>+'Score BD'!$J209&amp;'Score BD'!$B209</f>
        <v>Ingrid Carolina Monsalve Quintero16</v>
      </c>
      <c r="D209" s="91" t="s">
        <v>148</v>
      </c>
      <c r="E209" s="92" t="s">
        <v>164</v>
      </c>
      <c r="F209" s="92" t="s">
        <v>212</v>
      </c>
      <c r="G209" s="60" t="str">
        <f t="shared" si="34"/>
        <v>Noviembre</v>
      </c>
      <c r="H209" s="67">
        <v>45975</v>
      </c>
      <c r="I209" s="243">
        <v>45974</v>
      </c>
      <c r="J209" s="57" t="s">
        <v>176</v>
      </c>
      <c r="K209" s="54">
        <f>IFERROR(VLOOKUP('Score BD'!$J209,Lista!A:B,2,0)," ")</f>
        <v>52805909</v>
      </c>
      <c r="L209" s="61" t="s">
        <v>457</v>
      </c>
      <c r="M209" s="59" t="s">
        <v>4</v>
      </c>
      <c r="N209" s="59" t="s">
        <v>4</v>
      </c>
      <c r="O209" s="59" t="s">
        <v>4</v>
      </c>
      <c r="P209" s="59" t="s">
        <v>4</v>
      </c>
      <c r="Q209" s="96">
        <f t="shared" si="35"/>
        <v>1</v>
      </c>
      <c r="R209" s="59" t="s">
        <v>4</v>
      </c>
      <c r="S209" s="59" t="s">
        <v>4</v>
      </c>
      <c r="T209" s="59" t="s">
        <v>4</v>
      </c>
      <c r="U209" s="59" t="s">
        <v>4</v>
      </c>
      <c r="V209" s="45">
        <f t="shared" si="36"/>
        <v>1</v>
      </c>
      <c r="W209" s="59" t="s">
        <v>4</v>
      </c>
      <c r="X209" s="59" t="s">
        <v>4</v>
      </c>
      <c r="Y209" s="59" t="s">
        <v>4</v>
      </c>
      <c r="Z209" s="59" t="s">
        <v>4</v>
      </c>
      <c r="AA209" s="59" t="s">
        <v>4</v>
      </c>
      <c r="AB209" s="59" t="s">
        <v>4</v>
      </c>
      <c r="AC209" s="45">
        <f t="shared" si="37"/>
        <v>1.000000000000002</v>
      </c>
      <c r="AD209" s="43" t="s">
        <v>4</v>
      </c>
      <c r="AE209" s="43" t="s">
        <v>4</v>
      </c>
      <c r="AF209" s="97">
        <f t="shared" si="38"/>
        <v>1</v>
      </c>
      <c r="AG209" s="44">
        <f t="shared" si="39"/>
        <v>1.0000000000000004</v>
      </c>
      <c r="AH209" s="55">
        <f t="shared" si="40"/>
        <v>0</v>
      </c>
      <c r="AI209" s="55">
        <f>COUNTIF('Score BD'!$M209:$P209,"no")</f>
        <v>0</v>
      </c>
      <c r="AJ209" s="55">
        <f t="shared" si="41"/>
        <v>0</v>
      </c>
      <c r="AK209" s="55">
        <f t="shared" si="42"/>
        <v>0</v>
      </c>
      <c r="AL209" s="55">
        <f t="shared" si="43"/>
        <v>0</v>
      </c>
      <c r="AM209" s="104" t="s">
        <v>583</v>
      </c>
      <c r="AN209" s="55"/>
      <c r="AO209" s="61"/>
      <c r="AP209" s="61"/>
      <c r="AQ209" s="59" t="str">
        <f>IFERROR(_xlfn.XLOOKUP(Tabla1[[#This Row],[Cedula agente]],Lista!$B$2:$B$97,Lista!$G$2:$G$97)," ")</f>
        <v>Luisa Fernanda Benavides Castrillon</v>
      </c>
      <c r="AR209" s="59" t="s">
        <v>162</v>
      </c>
      <c r="AS209" s="55" t="str">
        <f>IFERROR(_xlfn.XLOOKUP(Tabla1[[#This Row],[Cedula agente]],Lista!$B$2:$B$97,Lista!$F$2:$F$97)," ")</f>
        <v>John Sebastian Roncancio Avendaño</v>
      </c>
      <c r="AT209" s="99">
        <v>0.95</v>
      </c>
      <c r="AU209" s="200">
        <f>+WEEKNUM('Score BD'!$H209)-WEEKNUM(DATE(YEAR('Score BD'!$H209),MONTH('Score BD'!$H209),1))+1</f>
        <v>3</v>
      </c>
    </row>
    <row r="210" spans="1:47" ht="17.45" customHeight="1" x14ac:dyDescent="0.3">
      <c r="A210" s="49" t="str">
        <f t="shared" si="33"/>
        <v>Ministerio de Educación Nacional</v>
      </c>
      <c r="B210" s="50">
        <f>+IFERROR(COUNTIF($J$3:J210,J210)," ")</f>
        <v>7</v>
      </c>
      <c r="C210" s="54" t="str">
        <f>+'Score BD'!$J210&amp;'Score BD'!$B210</f>
        <v>Jesus David Hernandez Fernandez de Castro7</v>
      </c>
      <c r="D210" s="91" t="s">
        <v>148</v>
      </c>
      <c r="E210" s="92" t="s">
        <v>208</v>
      </c>
      <c r="F210" s="92" t="s">
        <v>212</v>
      </c>
      <c r="G210" s="60" t="str">
        <f t="shared" si="34"/>
        <v>Noviembre</v>
      </c>
      <c r="H210" s="67">
        <v>45975</v>
      </c>
      <c r="I210" s="243">
        <v>45974</v>
      </c>
      <c r="J210" s="57" t="s">
        <v>177</v>
      </c>
      <c r="K210" s="54">
        <f>IFERROR(VLOOKUP('Score BD'!$J210,Lista!A:B,2,0)," ")</f>
        <v>1083038013</v>
      </c>
      <c r="L210" s="61" t="s">
        <v>458</v>
      </c>
      <c r="M210" s="59" t="s">
        <v>4</v>
      </c>
      <c r="N210" s="59" t="s">
        <v>4</v>
      </c>
      <c r="O210" s="59" t="s">
        <v>4</v>
      </c>
      <c r="P210" s="59" t="s">
        <v>4</v>
      </c>
      <c r="Q210" s="96">
        <f t="shared" si="35"/>
        <v>1</v>
      </c>
      <c r="R210" s="59" t="s">
        <v>4</v>
      </c>
      <c r="S210" s="59" t="s">
        <v>4</v>
      </c>
      <c r="T210" s="59" t="s">
        <v>4</v>
      </c>
      <c r="U210" s="59" t="s">
        <v>4</v>
      </c>
      <c r="V210" s="45">
        <f t="shared" si="36"/>
        <v>1</v>
      </c>
      <c r="W210" s="59" t="s">
        <v>4</v>
      </c>
      <c r="X210" s="59" t="s">
        <v>4</v>
      </c>
      <c r="Y210" s="59" t="s">
        <v>4</v>
      </c>
      <c r="Z210" s="59" t="s">
        <v>4</v>
      </c>
      <c r="AA210" s="59" t="s">
        <v>4</v>
      </c>
      <c r="AB210" s="59" t="s">
        <v>4</v>
      </c>
      <c r="AC210" s="45">
        <f t="shared" si="37"/>
        <v>1.000000000000002</v>
      </c>
      <c r="AD210" s="43" t="s">
        <v>4</v>
      </c>
      <c r="AE210" s="43" t="s">
        <v>4</v>
      </c>
      <c r="AF210" s="97">
        <f t="shared" si="38"/>
        <v>1</v>
      </c>
      <c r="AG210" s="44">
        <f t="shared" si="39"/>
        <v>1.0000000000000004</v>
      </c>
      <c r="AH210" s="55">
        <f t="shared" si="40"/>
        <v>0</v>
      </c>
      <c r="AI210" s="55">
        <f>COUNTIF('Score BD'!$M210:$P210,"no")</f>
        <v>0</v>
      </c>
      <c r="AJ210" s="55">
        <f t="shared" si="41"/>
        <v>0</v>
      </c>
      <c r="AK210" s="55">
        <f t="shared" si="42"/>
        <v>0</v>
      </c>
      <c r="AL210" s="55">
        <f t="shared" si="43"/>
        <v>0</v>
      </c>
      <c r="AM210" s="104" t="s">
        <v>583</v>
      </c>
      <c r="AN210" s="55"/>
      <c r="AO210" s="61"/>
      <c r="AP210" s="61"/>
      <c r="AQ210" s="59" t="str">
        <f>IFERROR(_xlfn.XLOOKUP(Tabla1[[#This Row],[Cedula agente]],Lista!$B$2:$B$97,Lista!$G$2:$G$97)," ")</f>
        <v>Luisa Fernanda Benavides Castrillon</v>
      </c>
      <c r="AR210" s="59" t="s">
        <v>162</v>
      </c>
      <c r="AS210" s="55" t="str">
        <f>IFERROR(_xlfn.XLOOKUP(Tabla1[[#This Row],[Cedula agente]],Lista!$B$2:$B$97,Lista!$F$2:$F$97)," ")</f>
        <v>John Sebastian Roncancio Avendaño</v>
      </c>
      <c r="AT210" s="99">
        <v>0.95</v>
      </c>
      <c r="AU210" s="200">
        <f>+WEEKNUM('Score BD'!$H210)-WEEKNUM(DATE(YEAR('Score BD'!$H210),MONTH('Score BD'!$H210),1))+1</f>
        <v>3</v>
      </c>
    </row>
    <row r="211" spans="1:47" ht="17.45" customHeight="1" x14ac:dyDescent="0.3">
      <c r="A211" s="49" t="str">
        <f t="shared" si="33"/>
        <v>Ministerio de Educación Nacional</v>
      </c>
      <c r="B211" s="50">
        <f>+IFERROR(COUNTIF($J$3:J211,J211)," ")</f>
        <v>14</v>
      </c>
      <c r="C211" s="54" t="str">
        <f>+'Score BD'!$J211&amp;'Score BD'!$B211</f>
        <v>Juan Jose Santoya Medina14</v>
      </c>
      <c r="D211" s="91" t="s">
        <v>148</v>
      </c>
      <c r="E211" s="92" t="s">
        <v>165</v>
      </c>
      <c r="F211" s="92" t="s">
        <v>212</v>
      </c>
      <c r="G211" s="60" t="str">
        <f t="shared" si="34"/>
        <v>Noviembre</v>
      </c>
      <c r="H211" s="67">
        <v>45975</v>
      </c>
      <c r="I211" s="243">
        <v>45974</v>
      </c>
      <c r="J211" s="57" t="s">
        <v>178</v>
      </c>
      <c r="K211" s="54">
        <f>IFERROR(VLOOKUP('Score BD'!$J211,Lista!A:B,2,0)," ")</f>
        <v>1053345183</v>
      </c>
      <c r="L211" s="61" t="s">
        <v>459</v>
      </c>
      <c r="M211" s="59" t="s">
        <v>4</v>
      </c>
      <c r="N211" s="59" t="s">
        <v>4</v>
      </c>
      <c r="O211" s="59" t="s">
        <v>4</v>
      </c>
      <c r="P211" s="59" t="s">
        <v>4</v>
      </c>
      <c r="Q211" s="96">
        <f t="shared" si="35"/>
        <v>1</v>
      </c>
      <c r="R211" s="59" t="s">
        <v>4</v>
      </c>
      <c r="S211" s="59" t="s">
        <v>4</v>
      </c>
      <c r="T211" s="59" t="s">
        <v>4</v>
      </c>
      <c r="U211" s="59" t="s">
        <v>4</v>
      </c>
      <c r="V211" s="45">
        <f t="shared" si="36"/>
        <v>1</v>
      </c>
      <c r="W211" s="59" t="s">
        <v>4</v>
      </c>
      <c r="X211" s="59" t="s">
        <v>4</v>
      </c>
      <c r="Y211" s="59" t="s">
        <v>4</v>
      </c>
      <c r="Z211" s="59" t="s">
        <v>4</v>
      </c>
      <c r="AA211" s="59" t="s">
        <v>4</v>
      </c>
      <c r="AB211" s="59" t="s">
        <v>4</v>
      </c>
      <c r="AC211" s="45">
        <f t="shared" si="37"/>
        <v>1.000000000000002</v>
      </c>
      <c r="AD211" s="43" t="s">
        <v>4</v>
      </c>
      <c r="AE211" s="43" t="s">
        <v>4</v>
      </c>
      <c r="AF211" s="97">
        <f t="shared" si="38"/>
        <v>1</v>
      </c>
      <c r="AG211" s="44">
        <f t="shared" si="39"/>
        <v>1.0000000000000004</v>
      </c>
      <c r="AH211" s="55">
        <f t="shared" si="40"/>
        <v>0</v>
      </c>
      <c r="AI211" s="55">
        <f>COUNTIF('Score BD'!$M211:$P211,"no")</f>
        <v>0</v>
      </c>
      <c r="AJ211" s="55">
        <f t="shared" si="41"/>
        <v>0</v>
      </c>
      <c r="AK211" s="55">
        <f t="shared" si="42"/>
        <v>0</v>
      </c>
      <c r="AL211" s="55">
        <f t="shared" si="43"/>
        <v>0</v>
      </c>
      <c r="AM211" s="104" t="s">
        <v>583</v>
      </c>
      <c r="AN211" s="55"/>
      <c r="AO211" s="61"/>
      <c r="AP211" s="61"/>
      <c r="AQ211" s="59" t="str">
        <f>IFERROR(_xlfn.XLOOKUP(Tabla1[[#This Row],[Cedula agente]],Lista!$B$2:$B$97,Lista!$G$2:$G$97)," ")</f>
        <v>Luisa Fernanda Benavides Castrillon</v>
      </c>
      <c r="AR211" s="59" t="s">
        <v>162</v>
      </c>
      <c r="AS211" s="55" t="str">
        <f>IFERROR(_xlfn.XLOOKUP(Tabla1[[#This Row],[Cedula agente]],Lista!$B$2:$B$97,Lista!$F$2:$F$97)," ")</f>
        <v>John Sebastian Roncancio Avendaño</v>
      </c>
      <c r="AT211" s="99">
        <v>0.95</v>
      </c>
      <c r="AU211" s="200">
        <f>+WEEKNUM('Score BD'!$H211)-WEEKNUM(DATE(YEAR('Score BD'!$H211),MONTH('Score BD'!$H211),1))+1</f>
        <v>3</v>
      </c>
    </row>
    <row r="212" spans="1:47" ht="17.45" customHeight="1" x14ac:dyDescent="0.3">
      <c r="A212" s="49" t="str">
        <f t="shared" si="33"/>
        <v>Ministerio de Educación Nacional</v>
      </c>
      <c r="B212" s="50">
        <f>+IFERROR(COUNTIF($J$3:J212,J212)," ")</f>
        <v>15</v>
      </c>
      <c r="C212" s="54" t="str">
        <f>+'Score BD'!$J212&amp;'Score BD'!$B212</f>
        <v>Juan Jose Santoya Medina15</v>
      </c>
      <c r="D212" s="91" t="s">
        <v>148</v>
      </c>
      <c r="E212" s="92" t="s">
        <v>165</v>
      </c>
      <c r="F212" s="92" t="s">
        <v>212</v>
      </c>
      <c r="G212" s="60" t="str">
        <f t="shared" si="34"/>
        <v>Noviembre</v>
      </c>
      <c r="H212" s="67">
        <v>45975</v>
      </c>
      <c r="I212" s="243">
        <v>45974</v>
      </c>
      <c r="J212" s="57" t="s">
        <v>178</v>
      </c>
      <c r="K212" s="54">
        <f>IFERROR(VLOOKUP('Score BD'!$J212,Lista!A:B,2,0)," ")</f>
        <v>1053345183</v>
      </c>
      <c r="L212" s="61" t="s">
        <v>460</v>
      </c>
      <c r="M212" s="59" t="s">
        <v>4</v>
      </c>
      <c r="N212" s="59" t="s">
        <v>4</v>
      </c>
      <c r="O212" s="59" t="s">
        <v>4</v>
      </c>
      <c r="P212" s="59" t="s">
        <v>4</v>
      </c>
      <c r="Q212" s="96">
        <f t="shared" si="35"/>
        <v>1</v>
      </c>
      <c r="R212" s="59" t="s">
        <v>4</v>
      </c>
      <c r="S212" s="59" t="s">
        <v>4</v>
      </c>
      <c r="T212" s="59" t="s">
        <v>4</v>
      </c>
      <c r="U212" s="59" t="s">
        <v>4</v>
      </c>
      <c r="V212" s="45">
        <f t="shared" si="36"/>
        <v>1</v>
      </c>
      <c r="W212" s="59" t="s">
        <v>4</v>
      </c>
      <c r="X212" s="59" t="s">
        <v>4</v>
      </c>
      <c r="Y212" s="59" t="s">
        <v>4</v>
      </c>
      <c r="Z212" s="59" t="s">
        <v>4</v>
      </c>
      <c r="AA212" s="59" t="s">
        <v>4</v>
      </c>
      <c r="AB212" s="59" t="s">
        <v>4</v>
      </c>
      <c r="AC212" s="45">
        <f t="shared" si="37"/>
        <v>1.000000000000002</v>
      </c>
      <c r="AD212" s="43" t="s">
        <v>4</v>
      </c>
      <c r="AE212" s="43" t="s">
        <v>4</v>
      </c>
      <c r="AF212" s="97">
        <f t="shared" si="38"/>
        <v>1</v>
      </c>
      <c r="AG212" s="44">
        <f t="shared" si="39"/>
        <v>1.0000000000000004</v>
      </c>
      <c r="AH212" s="55">
        <f t="shared" si="40"/>
        <v>0</v>
      </c>
      <c r="AI212" s="55">
        <f>COUNTIF('Score BD'!$M212:$P212,"no")</f>
        <v>0</v>
      </c>
      <c r="AJ212" s="55">
        <f t="shared" si="41"/>
        <v>0</v>
      </c>
      <c r="AK212" s="55">
        <f t="shared" si="42"/>
        <v>0</v>
      </c>
      <c r="AL212" s="55">
        <f t="shared" si="43"/>
        <v>0</v>
      </c>
      <c r="AM212" s="104" t="s">
        <v>583</v>
      </c>
      <c r="AN212" s="55"/>
      <c r="AO212" s="61"/>
      <c r="AP212" s="61"/>
      <c r="AQ212" s="59" t="str">
        <f>IFERROR(_xlfn.XLOOKUP(Tabla1[[#This Row],[Cedula agente]],Lista!$B$2:$B$97,Lista!$G$2:$G$97)," ")</f>
        <v>Luisa Fernanda Benavides Castrillon</v>
      </c>
      <c r="AR212" s="59" t="s">
        <v>162</v>
      </c>
      <c r="AS212" s="55" t="str">
        <f>IFERROR(_xlfn.XLOOKUP(Tabla1[[#This Row],[Cedula agente]],Lista!$B$2:$B$97,Lista!$F$2:$F$97)," ")</f>
        <v>John Sebastian Roncancio Avendaño</v>
      </c>
      <c r="AT212" s="99">
        <v>0.95</v>
      </c>
      <c r="AU212" s="200">
        <f>+WEEKNUM('Score BD'!$H212)-WEEKNUM(DATE(YEAR('Score BD'!$H212),MONTH('Score BD'!$H212),1))+1</f>
        <v>3</v>
      </c>
    </row>
    <row r="213" spans="1:47" ht="17.45" customHeight="1" x14ac:dyDescent="0.3">
      <c r="A213" s="49" t="str">
        <f t="shared" si="33"/>
        <v>Ministerio de Educación Nacional</v>
      </c>
      <c r="B213" s="50">
        <f>+IFERROR(COUNTIF($J$3:J213,J213)," ")</f>
        <v>10</v>
      </c>
      <c r="C213" s="54" t="str">
        <f>+'Score BD'!$J213&amp;'Score BD'!$B213</f>
        <v>Juan Sebastián Suárez Morales10</v>
      </c>
      <c r="D213" s="91" t="s">
        <v>148</v>
      </c>
      <c r="E213" s="92" t="s">
        <v>165</v>
      </c>
      <c r="F213" s="92" t="s">
        <v>212</v>
      </c>
      <c r="G213" s="60" t="str">
        <f t="shared" si="34"/>
        <v>Noviembre</v>
      </c>
      <c r="H213" s="67">
        <v>45975</v>
      </c>
      <c r="I213" s="243">
        <v>45974</v>
      </c>
      <c r="J213" s="57" t="s">
        <v>179</v>
      </c>
      <c r="K213" s="54">
        <f>IFERROR(VLOOKUP('Score BD'!$J213,Lista!A:B,2,0)," ")</f>
        <v>1030541070</v>
      </c>
      <c r="L213" s="61" t="s">
        <v>461</v>
      </c>
      <c r="M213" s="59" t="s">
        <v>4</v>
      </c>
      <c r="N213" s="59" t="s">
        <v>4</v>
      </c>
      <c r="O213" s="59" t="s">
        <v>4</v>
      </c>
      <c r="P213" s="59" t="s">
        <v>4</v>
      </c>
      <c r="Q213" s="96">
        <f t="shared" si="35"/>
        <v>1</v>
      </c>
      <c r="R213" s="59" t="s">
        <v>4</v>
      </c>
      <c r="S213" s="59" t="s">
        <v>4</v>
      </c>
      <c r="T213" s="59" t="s">
        <v>4</v>
      </c>
      <c r="U213" s="59" t="s">
        <v>4</v>
      </c>
      <c r="V213" s="45">
        <f t="shared" si="36"/>
        <v>1</v>
      </c>
      <c r="W213" s="59" t="s">
        <v>4</v>
      </c>
      <c r="X213" s="59" t="s">
        <v>4</v>
      </c>
      <c r="Y213" s="59" t="s">
        <v>4</v>
      </c>
      <c r="Z213" s="59" t="s">
        <v>4</v>
      </c>
      <c r="AA213" s="59" t="s">
        <v>4</v>
      </c>
      <c r="AB213" s="59" t="s">
        <v>4</v>
      </c>
      <c r="AC213" s="45">
        <f t="shared" si="37"/>
        <v>1.000000000000002</v>
      </c>
      <c r="AD213" s="43" t="s">
        <v>4</v>
      </c>
      <c r="AE213" s="43" t="s">
        <v>4</v>
      </c>
      <c r="AF213" s="97">
        <f t="shared" si="38"/>
        <v>1</v>
      </c>
      <c r="AG213" s="44">
        <f t="shared" si="39"/>
        <v>1.0000000000000004</v>
      </c>
      <c r="AH213" s="55">
        <f t="shared" si="40"/>
        <v>0</v>
      </c>
      <c r="AI213" s="55">
        <f>COUNTIF('Score BD'!$M213:$P213,"no")</f>
        <v>0</v>
      </c>
      <c r="AJ213" s="55">
        <f t="shared" si="41"/>
        <v>0</v>
      </c>
      <c r="AK213" s="55">
        <f t="shared" si="42"/>
        <v>0</v>
      </c>
      <c r="AL213" s="55">
        <f t="shared" si="43"/>
        <v>0</v>
      </c>
      <c r="AM213" s="104" t="s">
        <v>583</v>
      </c>
      <c r="AN213" s="55"/>
      <c r="AO213" s="61"/>
      <c r="AP213" s="61"/>
      <c r="AQ213" s="59" t="str">
        <f>IFERROR(_xlfn.XLOOKUP(Tabla1[[#This Row],[Cedula agente]],Lista!$B$2:$B$97,Lista!$G$2:$G$97)," ")</f>
        <v>Luisa Fernanda Benavides Castrillon</v>
      </c>
      <c r="AR213" s="59" t="s">
        <v>162</v>
      </c>
      <c r="AS213" s="55" t="str">
        <f>IFERROR(_xlfn.XLOOKUP(Tabla1[[#This Row],[Cedula agente]],Lista!$B$2:$B$97,Lista!$F$2:$F$97)," ")</f>
        <v>John Sebastian Roncancio Avendaño</v>
      </c>
      <c r="AT213" s="99">
        <v>0.95</v>
      </c>
      <c r="AU213" s="200">
        <f>+WEEKNUM('Score BD'!$H213)-WEEKNUM(DATE(YEAR('Score BD'!$H213),MONTH('Score BD'!$H213),1))+1</f>
        <v>3</v>
      </c>
    </row>
    <row r="214" spans="1:47" ht="17.45" customHeight="1" x14ac:dyDescent="0.3">
      <c r="A214" s="49" t="str">
        <f t="shared" si="33"/>
        <v>Ministerio de Educación Nacional</v>
      </c>
      <c r="B214" s="50">
        <f>+IFERROR(COUNTIF($J$3:J214,J214)," ")</f>
        <v>8</v>
      </c>
      <c r="C214" s="54" t="str">
        <f>+'Score BD'!$J214&amp;'Score BD'!$B214</f>
        <v>Laura Juliana Rueda Durán8</v>
      </c>
      <c r="D214" s="91" t="s">
        <v>148</v>
      </c>
      <c r="E214" s="92" t="s">
        <v>165</v>
      </c>
      <c r="F214" s="92" t="s">
        <v>212</v>
      </c>
      <c r="G214" s="60" t="str">
        <f t="shared" si="34"/>
        <v>Noviembre</v>
      </c>
      <c r="H214" s="67">
        <v>45975</v>
      </c>
      <c r="I214" s="243">
        <v>45974</v>
      </c>
      <c r="J214" s="57" t="s">
        <v>180</v>
      </c>
      <c r="K214" s="54">
        <f>IFERROR(VLOOKUP('Score BD'!$J214,Lista!A:B,2,0)," ")</f>
        <v>1026291591</v>
      </c>
      <c r="L214" s="61" t="s">
        <v>462</v>
      </c>
      <c r="M214" s="59" t="s">
        <v>4</v>
      </c>
      <c r="N214" s="59" t="s">
        <v>4</v>
      </c>
      <c r="O214" s="59" t="s">
        <v>4</v>
      </c>
      <c r="P214" s="59" t="s">
        <v>4</v>
      </c>
      <c r="Q214" s="96">
        <f t="shared" si="35"/>
        <v>1</v>
      </c>
      <c r="R214" s="59" t="s">
        <v>4</v>
      </c>
      <c r="S214" s="59" t="s">
        <v>4</v>
      </c>
      <c r="T214" s="59" t="s">
        <v>4</v>
      </c>
      <c r="U214" s="59" t="s">
        <v>4</v>
      </c>
      <c r="V214" s="45">
        <f t="shared" si="36"/>
        <v>1</v>
      </c>
      <c r="W214" s="59" t="s">
        <v>4</v>
      </c>
      <c r="X214" s="59" t="s">
        <v>4</v>
      </c>
      <c r="Y214" s="59" t="s">
        <v>4</v>
      </c>
      <c r="Z214" s="59" t="s">
        <v>4</v>
      </c>
      <c r="AA214" s="59" t="s">
        <v>4</v>
      </c>
      <c r="AB214" s="59" t="s">
        <v>4</v>
      </c>
      <c r="AC214" s="45">
        <f t="shared" si="37"/>
        <v>1.000000000000002</v>
      </c>
      <c r="AD214" s="43" t="s">
        <v>4</v>
      </c>
      <c r="AE214" s="43" t="s">
        <v>4</v>
      </c>
      <c r="AF214" s="97">
        <f t="shared" si="38"/>
        <v>1</v>
      </c>
      <c r="AG214" s="44">
        <f t="shared" si="39"/>
        <v>1.0000000000000004</v>
      </c>
      <c r="AH214" s="55">
        <f t="shared" si="40"/>
        <v>0</v>
      </c>
      <c r="AI214" s="55">
        <f>COUNTIF('Score BD'!$M214:$P214,"no")</f>
        <v>0</v>
      </c>
      <c r="AJ214" s="55">
        <f t="shared" si="41"/>
        <v>0</v>
      </c>
      <c r="AK214" s="55">
        <f t="shared" si="42"/>
        <v>0</v>
      </c>
      <c r="AL214" s="55">
        <f t="shared" si="43"/>
        <v>0</v>
      </c>
      <c r="AM214" s="104" t="s">
        <v>583</v>
      </c>
      <c r="AN214" s="55"/>
      <c r="AO214" s="61"/>
      <c r="AP214" s="61"/>
      <c r="AQ214" s="59" t="str">
        <f>IFERROR(_xlfn.XLOOKUP(Tabla1[[#This Row],[Cedula agente]],Lista!$B$2:$B$97,Lista!$G$2:$G$97)," ")</f>
        <v>Luisa Fernanda Benavides Castrillon</v>
      </c>
      <c r="AR214" s="59" t="s">
        <v>162</v>
      </c>
      <c r="AS214" s="55" t="str">
        <f>IFERROR(_xlfn.XLOOKUP(Tabla1[[#This Row],[Cedula agente]],Lista!$B$2:$B$97,Lista!$F$2:$F$97)," ")</f>
        <v>John Sebastian Roncancio Avendaño</v>
      </c>
      <c r="AT214" s="99">
        <v>0.95</v>
      </c>
      <c r="AU214" s="200">
        <f>+WEEKNUM('Score BD'!$H214)-WEEKNUM(DATE(YEAR('Score BD'!$H214),MONTH('Score BD'!$H214),1))+1</f>
        <v>3</v>
      </c>
    </row>
    <row r="215" spans="1:47" ht="17.45" customHeight="1" x14ac:dyDescent="0.3">
      <c r="A215" s="49" t="str">
        <f t="shared" si="33"/>
        <v>Ministerio de Educación Nacional</v>
      </c>
      <c r="B215" s="50">
        <f>+IFERROR(COUNTIF($J$3:J215,J215)," ")</f>
        <v>8</v>
      </c>
      <c r="C215" s="54" t="str">
        <f>+'Score BD'!$J215&amp;'Score BD'!$B215</f>
        <v>Laura Ximena Sandoval Galindo8</v>
      </c>
      <c r="D215" s="91" t="s">
        <v>148</v>
      </c>
      <c r="E215" s="92" t="s">
        <v>208</v>
      </c>
      <c r="F215" s="92" t="s">
        <v>212</v>
      </c>
      <c r="G215" s="60" t="str">
        <f t="shared" si="34"/>
        <v>Noviembre</v>
      </c>
      <c r="H215" s="67">
        <v>45975</v>
      </c>
      <c r="I215" s="243">
        <v>45974</v>
      </c>
      <c r="J215" s="57" t="s">
        <v>201</v>
      </c>
      <c r="K215" s="54">
        <f>IFERROR(VLOOKUP('Score BD'!$J215,Lista!A:B,2,0)," ")</f>
        <v>1030678660</v>
      </c>
      <c r="L215" s="61" t="s">
        <v>463</v>
      </c>
      <c r="M215" s="59" t="s">
        <v>4</v>
      </c>
      <c r="N215" s="59" t="s">
        <v>4</v>
      </c>
      <c r="O215" s="59" t="s">
        <v>4</v>
      </c>
      <c r="P215" s="59" t="s">
        <v>4</v>
      </c>
      <c r="Q215" s="96">
        <f t="shared" si="35"/>
        <v>1</v>
      </c>
      <c r="R215" s="59" t="s">
        <v>4</v>
      </c>
      <c r="S215" s="59" t="s">
        <v>4</v>
      </c>
      <c r="T215" s="59" t="s">
        <v>4</v>
      </c>
      <c r="U215" s="59" t="s">
        <v>4</v>
      </c>
      <c r="V215" s="45">
        <f t="shared" si="36"/>
        <v>1</v>
      </c>
      <c r="W215" s="59" t="s">
        <v>4</v>
      </c>
      <c r="X215" s="59" t="s">
        <v>4</v>
      </c>
      <c r="Y215" s="59" t="s">
        <v>4</v>
      </c>
      <c r="Z215" s="59" t="s">
        <v>4</v>
      </c>
      <c r="AA215" s="59" t="s">
        <v>4</v>
      </c>
      <c r="AB215" s="59" t="s">
        <v>4</v>
      </c>
      <c r="AC215" s="45">
        <f t="shared" si="37"/>
        <v>1.000000000000002</v>
      </c>
      <c r="AD215" s="43" t="s">
        <v>4</v>
      </c>
      <c r="AE215" s="43" t="s">
        <v>4</v>
      </c>
      <c r="AF215" s="97">
        <f t="shared" si="38"/>
        <v>1</v>
      </c>
      <c r="AG215" s="44">
        <f t="shared" si="39"/>
        <v>1.0000000000000004</v>
      </c>
      <c r="AH215" s="55">
        <f t="shared" si="40"/>
        <v>0</v>
      </c>
      <c r="AI215" s="55">
        <f>COUNTIF('Score BD'!$M215:$P215,"no")</f>
        <v>0</v>
      </c>
      <c r="AJ215" s="55">
        <f t="shared" si="41"/>
        <v>0</v>
      </c>
      <c r="AK215" s="55">
        <f t="shared" si="42"/>
        <v>0</v>
      </c>
      <c r="AL215" s="55">
        <f t="shared" si="43"/>
        <v>0</v>
      </c>
      <c r="AM215" s="104" t="s">
        <v>583</v>
      </c>
      <c r="AN215" s="55"/>
      <c r="AO215" s="61"/>
      <c r="AP215" s="61"/>
      <c r="AQ215" s="59" t="str">
        <f>IFERROR(_xlfn.XLOOKUP(Tabla1[[#This Row],[Cedula agente]],Lista!$B$2:$B$97,Lista!$G$2:$G$97)," ")</f>
        <v>Luisa Fernanda Benavides Castrillon</v>
      </c>
      <c r="AR215" s="59" t="s">
        <v>162</v>
      </c>
      <c r="AS215" s="55" t="str">
        <f>IFERROR(_xlfn.XLOOKUP(Tabla1[[#This Row],[Cedula agente]],Lista!$B$2:$B$97,Lista!$F$2:$F$97)," ")</f>
        <v>John Sebastian Roncancio Avendaño</v>
      </c>
      <c r="AT215" s="99">
        <v>0.95</v>
      </c>
      <c r="AU215" s="200">
        <f>+WEEKNUM('Score BD'!$H215)-WEEKNUM(DATE(YEAR('Score BD'!$H215),MONTH('Score BD'!$H215),1))+1</f>
        <v>3</v>
      </c>
    </row>
    <row r="216" spans="1:47" ht="17.45" customHeight="1" x14ac:dyDescent="0.3">
      <c r="A216" s="49" t="str">
        <f t="shared" si="33"/>
        <v>Ministerio de Educación Nacional</v>
      </c>
      <c r="B216" s="50">
        <f>+IFERROR(COUNTIF($J$3:J216,J216)," ")</f>
        <v>15</v>
      </c>
      <c r="C216" s="54" t="str">
        <f>+'Score BD'!$J216&amp;'Score BD'!$B216</f>
        <v>Maira Alejandra Rodriguez Losada15</v>
      </c>
      <c r="D216" s="91" t="s">
        <v>148</v>
      </c>
      <c r="E216" s="92" t="s">
        <v>164</v>
      </c>
      <c r="F216" s="92" t="s">
        <v>212</v>
      </c>
      <c r="G216" s="60" t="str">
        <f t="shared" si="34"/>
        <v>Noviembre</v>
      </c>
      <c r="H216" s="67">
        <v>45975</v>
      </c>
      <c r="I216" s="243">
        <v>45974</v>
      </c>
      <c r="J216" s="57" t="s">
        <v>204</v>
      </c>
      <c r="K216" s="54">
        <f>IFERROR(VLOOKUP('Score BD'!$J216,Lista!A:B,2,0)," ")</f>
        <v>1075224344</v>
      </c>
      <c r="L216" s="61" t="s">
        <v>464</v>
      </c>
      <c r="M216" s="59" t="s">
        <v>4</v>
      </c>
      <c r="N216" s="59" t="s">
        <v>4</v>
      </c>
      <c r="O216" s="59" t="s">
        <v>4</v>
      </c>
      <c r="P216" s="59" t="s">
        <v>4</v>
      </c>
      <c r="Q216" s="96">
        <f t="shared" si="35"/>
        <v>1</v>
      </c>
      <c r="R216" s="59" t="s">
        <v>4</v>
      </c>
      <c r="S216" s="59" t="s">
        <v>4</v>
      </c>
      <c r="T216" s="59" t="s">
        <v>4</v>
      </c>
      <c r="U216" s="59" t="s">
        <v>4</v>
      </c>
      <c r="V216" s="45">
        <f t="shared" si="36"/>
        <v>1</v>
      </c>
      <c r="W216" s="59" t="s">
        <v>4</v>
      </c>
      <c r="X216" s="59" t="s">
        <v>4</v>
      </c>
      <c r="Y216" s="59" t="s">
        <v>4</v>
      </c>
      <c r="Z216" s="59" t="s">
        <v>4</v>
      </c>
      <c r="AA216" s="59" t="s">
        <v>4</v>
      </c>
      <c r="AB216" s="59" t="s">
        <v>4</v>
      </c>
      <c r="AC216" s="45">
        <f t="shared" si="37"/>
        <v>1.000000000000002</v>
      </c>
      <c r="AD216" s="43" t="s">
        <v>4</v>
      </c>
      <c r="AE216" s="43" t="s">
        <v>4</v>
      </c>
      <c r="AF216" s="97">
        <f t="shared" si="38"/>
        <v>1</v>
      </c>
      <c r="AG216" s="44">
        <f t="shared" si="39"/>
        <v>1.0000000000000004</v>
      </c>
      <c r="AH216" s="55">
        <f t="shared" si="40"/>
        <v>0</v>
      </c>
      <c r="AI216" s="55">
        <f>COUNTIF('Score BD'!$M216:$P216,"no")</f>
        <v>0</v>
      </c>
      <c r="AJ216" s="55">
        <f t="shared" si="41"/>
        <v>0</v>
      </c>
      <c r="AK216" s="55">
        <f t="shared" si="42"/>
        <v>0</v>
      </c>
      <c r="AL216" s="55">
        <f t="shared" si="43"/>
        <v>0</v>
      </c>
      <c r="AM216" s="104" t="s">
        <v>583</v>
      </c>
      <c r="AN216" s="55"/>
      <c r="AO216" s="61"/>
      <c r="AP216" s="61"/>
      <c r="AQ216" s="59" t="str">
        <f>IFERROR(_xlfn.XLOOKUP(Tabla1[[#This Row],[Cedula agente]],Lista!$B$2:$B$97,Lista!$G$2:$G$97)," ")</f>
        <v>Luisa Fernanda Benavides Castrillon</v>
      </c>
      <c r="AR216" s="59" t="s">
        <v>162</v>
      </c>
      <c r="AS216" s="55" t="str">
        <f>IFERROR(_xlfn.XLOOKUP(Tabla1[[#This Row],[Cedula agente]],Lista!$B$2:$B$97,Lista!$F$2:$F$97)," ")</f>
        <v>John Sebastian Roncancio Avendaño</v>
      </c>
      <c r="AT216" s="99">
        <v>0.95</v>
      </c>
      <c r="AU216" s="200">
        <f>+WEEKNUM('Score BD'!$H216)-WEEKNUM(DATE(YEAR('Score BD'!$H216),MONTH('Score BD'!$H216),1))+1</f>
        <v>3</v>
      </c>
    </row>
    <row r="217" spans="1:47" ht="17.45" customHeight="1" x14ac:dyDescent="0.3">
      <c r="A217" s="49" t="str">
        <f t="shared" si="33"/>
        <v>Ministerio de Educación Nacional</v>
      </c>
      <c r="B217" s="50">
        <f>+IFERROR(COUNTIF($J$3:J217,J217)," ")</f>
        <v>16</v>
      </c>
      <c r="C217" s="54" t="str">
        <f>+'Score BD'!$J217&amp;'Score BD'!$B217</f>
        <v>Maira Alejandra Rodriguez Losada16</v>
      </c>
      <c r="D217" s="91" t="s">
        <v>148</v>
      </c>
      <c r="E217" s="92" t="s">
        <v>164</v>
      </c>
      <c r="F217" s="92" t="s">
        <v>212</v>
      </c>
      <c r="G217" s="60" t="str">
        <f t="shared" si="34"/>
        <v>Noviembre</v>
      </c>
      <c r="H217" s="67">
        <v>45975</v>
      </c>
      <c r="I217" s="243">
        <v>45974</v>
      </c>
      <c r="J217" s="57" t="s">
        <v>204</v>
      </c>
      <c r="K217" s="54">
        <f>IFERROR(VLOOKUP('Score BD'!$J217,Lista!A:B,2,0)," ")</f>
        <v>1075224344</v>
      </c>
      <c r="L217" s="61" t="s">
        <v>465</v>
      </c>
      <c r="M217" s="59" t="s">
        <v>4</v>
      </c>
      <c r="N217" s="59" t="s">
        <v>4</v>
      </c>
      <c r="O217" s="59" t="s">
        <v>4</v>
      </c>
      <c r="P217" s="59" t="s">
        <v>4</v>
      </c>
      <c r="Q217" s="96">
        <f t="shared" si="35"/>
        <v>1</v>
      </c>
      <c r="R217" s="59" t="s">
        <v>4</v>
      </c>
      <c r="S217" s="59" t="s">
        <v>4</v>
      </c>
      <c r="T217" s="59" t="s">
        <v>4</v>
      </c>
      <c r="U217" s="59" t="s">
        <v>4</v>
      </c>
      <c r="V217" s="45">
        <f t="shared" si="36"/>
        <v>1</v>
      </c>
      <c r="W217" s="59" t="s">
        <v>4</v>
      </c>
      <c r="X217" s="59" t="s">
        <v>4</v>
      </c>
      <c r="Y217" s="59" t="s">
        <v>4</v>
      </c>
      <c r="Z217" s="59" t="s">
        <v>4</v>
      </c>
      <c r="AA217" s="59" t="s">
        <v>4</v>
      </c>
      <c r="AB217" s="59" t="s">
        <v>4</v>
      </c>
      <c r="AC217" s="45">
        <f t="shared" si="37"/>
        <v>1.000000000000002</v>
      </c>
      <c r="AD217" s="43" t="s">
        <v>4</v>
      </c>
      <c r="AE217" s="43" t="s">
        <v>4</v>
      </c>
      <c r="AF217" s="97">
        <f t="shared" si="38"/>
        <v>1</v>
      </c>
      <c r="AG217" s="44">
        <f t="shared" si="39"/>
        <v>1.0000000000000004</v>
      </c>
      <c r="AH217" s="55">
        <f t="shared" si="40"/>
        <v>0</v>
      </c>
      <c r="AI217" s="55">
        <f>COUNTIF('Score BD'!$M217:$P217,"no")</f>
        <v>0</v>
      </c>
      <c r="AJ217" s="55">
        <f t="shared" si="41"/>
        <v>0</v>
      </c>
      <c r="AK217" s="55">
        <f t="shared" si="42"/>
        <v>0</v>
      </c>
      <c r="AL217" s="55">
        <f t="shared" si="43"/>
        <v>0</v>
      </c>
      <c r="AM217" s="104" t="s">
        <v>583</v>
      </c>
      <c r="AN217" s="55"/>
      <c r="AO217" s="61"/>
      <c r="AP217" s="61"/>
      <c r="AQ217" s="59" t="str">
        <f>IFERROR(_xlfn.XLOOKUP(Tabla1[[#This Row],[Cedula agente]],Lista!$B$2:$B$97,Lista!$G$2:$G$97)," ")</f>
        <v>Luisa Fernanda Benavides Castrillon</v>
      </c>
      <c r="AR217" s="59" t="s">
        <v>162</v>
      </c>
      <c r="AS217" s="55" t="str">
        <f>IFERROR(_xlfn.XLOOKUP(Tabla1[[#This Row],[Cedula agente]],Lista!$B$2:$B$97,Lista!$F$2:$F$97)," ")</f>
        <v>John Sebastian Roncancio Avendaño</v>
      </c>
      <c r="AT217" s="99">
        <v>0.95</v>
      </c>
      <c r="AU217" s="200">
        <f>+WEEKNUM('Score BD'!$H217)-WEEKNUM(DATE(YEAR('Score BD'!$H217),MONTH('Score BD'!$H217),1))+1</f>
        <v>3</v>
      </c>
    </row>
    <row r="218" spans="1:47" ht="17.45" customHeight="1" x14ac:dyDescent="0.3">
      <c r="A218" s="49" t="str">
        <f t="shared" si="33"/>
        <v>Ministerio de Educación Nacional</v>
      </c>
      <c r="B218" s="50">
        <f>+IFERROR(COUNTIF($J$3:J218,J218)," ")</f>
        <v>15</v>
      </c>
      <c r="C218" s="54" t="str">
        <f>+'Score BD'!$J218&amp;'Score BD'!$B218</f>
        <v>María José Uribe Medina15</v>
      </c>
      <c r="D218" s="91" t="s">
        <v>148</v>
      </c>
      <c r="E218" s="92" t="s">
        <v>164</v>
      </c>
      <c r="F218" s="92" t="s">
        <v>212</v>
      </c>
      <c r="G218" s="60" t="str">
        <f t="shared" si="34"/>
        <v>Noviembre</v>
      </c>
      <c r="H218" s="67">
        <v>45975</v>
      </c>
      <c r="I218" s="243">
        <v>45974</v>
      </c>
      <c r="J218" s="57" t="s">
        <v>205</v>
      </c>
      <c r="K218" s="54">
        <f>IFERROR(VLOOKUP('Score BD'!$J218,Lista!A:B,2,0)," ")</f>
        <v>1121919150</v>
      </c>
      <c r="L218" s="61" t="s">
        <v>466</v>
      </c>
      <c r="M218" s="59" t="s">
        <v>4</v>
      </c>
      <c r="N218" s="59" t="s">
        <v>4</v>
      </c>
      <c r="O218" s="59" t="s">
        <v>4</v>
      </c>
      <c r="P218" s="59" t="s">
        <v>4</v>
      </c>
      <c r="Q218" s="96">
        <f t="shared" si="35"/>
        <v>1</v>
      </c>
      <c r="R218" s="59" t="s">
        <v>4</v>
      </c>
      <c r="S218" s="59" t="s">
        <v>4</v>
      </c>
      <c r="T218" s="59" t="s">
        <v>4</v>
      </c>
      <c r="U218" s="59" t="s">
        <v>4</v>
      </c>
      <c r="V218" s="45">
        <f t="shared" si="36"/>
        <v>1</v>
      </c>
      <c r="W218" s="59" t="s">
        <v>4</v>
      </c>
      <c r="X218" s="59" t="s">
        <v>4</v>
      </c>
      <c r="Y218" s="59" t="s">
        <v>4</v>
      </c>
      <c r="Z218" s="59" t="s">
        <v>4</v>
      </c>
      <c r="AA218" s="59" t="s">
        <v>4</v>
      </c>
      <c r="AB218" s="59" t="s">
        <v>4</v>
      </c>
      <c r="AC218" s="45">
        <f t="shared" si="37"/>
        <v>1.000000000000002</v>
      </c>
      <c r="AD218" s="43" t="s">
        <v>4</v>
      </c>
      <c r="AE218" s="43" t="s">
        <v>4</v>
      </c>
      <c r="AF218" s="97">
        <f t="shared" si="38"/>
        <v>1</v>
      </c>
      <c r="AG218" s="44">
        <f t="shared" si="39"/>
        <v>1.0000000000000004</v>
      </c>
      <c r="AH218" s="55">
        <f t="shared" si="40"/>
        <v>0</v>
      </c>
      <c r="AI218" s="55">
        <f>COUNTIF('Score BD'!$M218:$P218,"no")</f>
        <v>0</v>
      </c>
      <c r="AJ218" s="55">
        <f t="shared" si="41"/>
        <v>0</v>
      </c>
      <c r="AK218" s="55">
        <f t="shared" si="42"/>
        <v>0</v>
      </c>
      <c r="AL218" s="55">
        <f t="shared" si="43"/>
        <v>0</v>
      </c>
      <c r="AM218" s="104" t="s">
        <v>583</v>
      </c>
      <c r="AN218" s="55"/>
      <c r="AO218" s="61"/>
      <c r="AP218" s="61"/>
      <c r="AQ218" s="59" t="str">
        <f>IFERROR(_xlfn.XLOOKUP(Tabla1[[#This Row],[Cedula agente]],Lista!$B$2:$B$97,Lista!$G$2:$G$97)," ")</f>
        <v>Luisa Fernanda Benavides Castrillon</v>
      </c>
      <c r="AR218" s="59" t="s">
        <v>162</v>
      </c>
      <c r="AS218" s="55" t="str">
        <f>IFERROR(_xlfn.XLOOKUP(Tabla1[[#This Row],[Cedula agente]],Lista!$B$2:$B$97,Lista!$F$2:$F$97)," ")</f>
        <v>John Sebastian Roncancio Avendaño</v>
      </c>
      <c r="AT218" s="99">
        <v>0.95</v>
      </c>
      <c r="AU218" s="200">
        <f>+WEEKNUM('Score BD'!$H218)-WEEKNUM(DATE(YEAR('Score BD'!$H218),MONTH('Score BD'!$H218),1))+1</f>
        <v>3</v>
      </c>
    </row>
    <row r="219" spans="1:47" ht="17.45" customHeight="1" x14ac:dyDescent="0.3">
      <c r="A219" s="49" t="str">
        <f t="shared" si="33"/>
        <v>Ministerio de Educación Nacional</v>
      </c>
      <c r="B219" s="50">
        <f>+IFERROR(COUNTIF($J$3:J219,J219)," ")</f>
        <v>16</v>
      </c>
      <c r="C219" s="54" t="str">
        <f>+'Score BD'!$J219&amp;'Score BD'!$B219</f>
        <v>María José Uribe Medina16</v>
      </c>
      <c r="D219" s="91" t="s">
        <v>148</v>
      </c>
      <c r="E219" s="92" t="s">
        <v>164</v>
      </c>
      <c r="F219" s="92" t="s">
        <v>212</v>
      </c>
      <c r="G219" s="60" t="str">
        <f t="shared" si="34"/>
        <v>Noviembre</v>
      </c>
      <c r="H219" s="67">
        <v>45975</v>
      </c>
      <c r="I219" s="243">
        <v>45974</v>
      </c>
      <c r="J219" s="57" t="s">
        <v>205</v>
      </c>
      <c r="K219" s="54">
        <f>IFERROR(VLOOKUP('Score BD'!$J219,Lista!A:B,2,0)," ")</f>
        <v>1121919150</v>
      </c>
      <c r="L219" s="61" t="s">
        <v>467</v>
      </c>
      <c r="M219" s="59" t="s">
        <v>4</v>
      </c>
      <c r="N219" s="59" t="s">
        <v>4</v>
      </c>
      <c r="O219" s="59" t="s">
        <v>4</v>
      </c>
      <c r="P219" s="59" t="s">
        <v>4</v>
      </c>
      <c r="Q219" s="96">
        <f t="shared" si="35"/>
        <v>1</v>
      </c>
      <c r="R219" s="59" t="s">
        <v>4</v>
      </c>
      <c r="S219" s="59" t="s">
        <v>4</v>
      </c>
      <c r="T219" s="59" t="s">
        <v>4</v>
      </c>
      <c r="U219" s="59" t="s">
        <v>4</v>
      </c>
      <c r="V219" s="45">
        <f t="shared" si="36"/>
        <v>1</v>
      </c>
      <c r="W219" s="59" t="s">
        <v>4</v>
      </c>
      <c r="X219" s="59" t="s">
        <v>4</v>
      </c>
      <c r="Y219" s="59" t="s">
        <v>4</v>
      </c>
      <c r="Z219" s="59" t="s">
        <v>4</v>
      </c>
      <c r="AA219" s="59" t="s">
        <v>4</v>
      </c>
      <c r="AB219" s="59" t="s">
        <v>4</v>
      </c>
      <c r="AC219" s="45">
        <f t="shared" si="37"/>
        <v>1.000000000000002</v>
      </c>
      <c r="AD219" s="43" t="s">
        <v>4</v>
      </c>
      <c r="AE219" s="43" t="s">
        <v>4</v>
      </c>
      <c r="AF219" s="97">
        <f t="shared" si="38"/>
        <v>1</v>
      </c>
      <c r="AG219" s="44">
        <f t="shared" si="39"/>
        <v>1.0000000000000004</v>
      </c>
      <c r="AH219" s="55">
        <f t="shared" si="40"/>
        <v>0</v>
      </c>
      <c r="AI219" s="55">
        <f>COUNTIF('Score BD'!$M219:$P219,"no")</f>
        <v>0</v>
      </c>
      <c r="AJ219" s="55">
        <f t="shared" si="41"/>
        <v>0</v>
      </c>
      <c r="AK219" s="55">
        <f t="shared" si="42"/>
        <v>0</v>
      </c>
      <c r="AL219" s="55">
        <f t="shared" si="43"/>
        <v>0</v>
      </c>
      <c r="AM219" s="104" t="s">
        <v>583</v>
      </c>
      <c r="AN219" s="55"/>
      <c r="AO219" s="61"/>
      <c r="AP219" s="61"/>
      <c r="AQ219" s="59" t="str">
        <f>IFERROR(_xlfn.XLOOKUP(Tabla1[[#This Row],[Cedula agente]],Lista!$B$2:$B$97,Lista!$G$2:$G$97)," ")</f>
        <v>Luisa Fernanda Benavides Castrillon</v>
      </c>
      <c r="AR219" s="59" t="s">
        <v>162</v>
      </c>
      <c r="AS219" s="55" t="str">
        <f>IFERROR(_xlfn.XLOOKUP(Tabla1[[#This Row],[Cedula agente]],Lista!$B$2:$B$97,Lista!$F$2:$F$97)," ")</f>
        <v>John Sebastian Roncancio Avendaño</v>
      </c>
      <c r="AT219" s="99">
        <v>0.95</v>
      </c>
      <c r="AU219" s="200">
        <f>+WEEKNUM('Score BD'!$H219)-WEEKNUM(DATE(YEAR('Score BD'!$H219),MONTH('Score BD'!$H219),1))+1</f>
        <v>3</v>
      </c>
    </row>
    <row r="220" spans="1:47" ht="17.45" customHeight="1" x14ac:dyDescent="0.3">
      <c r="A220" s="49" t="str">
        <f t="shared" si="33"/>
        <v>Ministerio de Educación Nacional</v>
      </c>
      <c r="B220" s="50">
        <f>+IFERROR(COUNTIF($J$3:J220,J220)," ")</f>
        <v>15</v>
      </c>
      <c r="C220" s="54" t="str">
        <f>+'Score BD'!$J220&amp;'Score BD'!$B220</f>
        <v>Natalia Cañón Betancourt15</v>
      </c>
      <c r="D220" s="91" t="s">
        <v>148</v>
      </c>
      <c r="E220" s="92" t="s">
        <v>164</v>
      </c>
      <c r="F220" s="92" t="s">
        <v>212</v>
      </c>
      <c r="G220" s="60" t="str">
        <f t="shared" si="34"/>
        <v>Noviembre</v>
      </c>
      <c r="H220" s="67">
        <v>45975</v>
      </c>
      <c r="I220" s="243">
        <v>45974</v>
      </c>
      <c r="J220" s="57" t="s">
        <v>181</v>
      </c>
      <c r="K220" s="54">
        <f>IFERROR(VLOOKUP('Score BD'!$J220,Lista!A:B,2,0)," ")</f>
        <v>1000383417</v>
      </c>
      <c r="L220" s="61" t="s">
        <v>468</v>
      </c>
      <c r="M220" s="59" t="s">
        <v>4</v>
      </c>
      <c r="N220" s="59" t="s">
        <v>4</v>
      </c>
      <c r="O220" s="59" t="s">
        <v>4</v>
      </c>
      <c r="P220" s="59" t="s">
        <v>4</v>
      </c>
      <c r="Q220" s="96">
        <f t="shared" si="35"/>
        <v>1</v>
      </c>
      <c r="R220" s="59" t="s">
        <v>4</v>
      </c>
      <c r="S220" s="59" t="s">
        <v>4</v>
      </c>
      <c r="T220" s="59" t="s">
        <v>4</v>
      </c>
      <c r="U220" s="59" t="s">
        <v>4</v>
      </c>
      <c r="V220" s="45">
        <f t="shared" si="36"/>
        <v>1</v>
      </c>
      <c r="W220" s="59" t="s">
        <v>4</v>
      </c>
      <c r="X220" s="59" t="s">
        <v>4</v>
      </c>
      <c r="Y220" s="59" t="s">
        <v>4</v>
      </c>
      <c r="Z220" s="59" t="s">
        <v>4</v>
      </c>
      <c r="AA220" s="59" t="s">
        <v>4</v>
      </c>
      <c r="AB220" s="59" t="s">
        <v>4</v>
      </c>
      <c r="AC220" s="45">
        <f t="shared" si="37"/>
        <v>1.000000000000002</v>
      </c>
      <c r="AD220" s="43" t="s">
        <v>4</v>
      </c>
      <c r="AE220" s="43" t="s">
        <v>4</v>
      </c>
      <c r="AF220" s="97">
        <f t="shared" si="38"/>
        <v>1</v>
      </c>
      <c r="AG220" s="44">
        <f t="shared" si="39"/>
        <v>1.0000000000000004</v>
      </c>
      <c r="AH220" s="55">
        <f t="shared" si="40"/>
        <v>0</v>
      </c>
      <c r="AI220" s="55">
        <f>COUNTIF('Score BD'!$M220:$P220,"no")</f>
        <v>0</v>
      </c>
      <c r="AJ220" s="55">
        <f t="shared" si="41"/>
        <v>0</v>
      </c>
      <c r="AK220" s="55">
        <f t="shared" si="42"/>
        <v>0</v>
      </c>
      <c r="AL220" s="55">
        <f t="shared" si="43"/>
        <v>0</v>
      </c>
      <c r="AM220" s="104" t="s">
        <v>583</v>
      </c>
      <c r="AN220" s="55"/>
      <c r="AO220" s="61"/>
      <c r="AP220" s="61"/>
      <c r="AQ220" s="59" t="str">
        <f>IFERROR(_xlfn.XLOOKUP(Tabla1[[#This Row],[Cedula agente]],Lista!$B$2:$B$97,Lista!$G$2:$G$97)," ")</f>
        <v>Luisa Fernanda Benavides Castrillon</v>
      </c>
      <c r="AR220" s="59" t="s">
        <v>162</v>
      </c>
      <c r="AS220" s="55" t="str">
        <f>IFERROR(_xlfn.XLOOKUP(Tabla1[[#This Row],[Cedula agente]],Lista!$B$2:$B$97,Lista!$F$2:$F$97)," ")</f>
        <v>John Sebastian Roncancio Avendaño</v>
      </c>
      <c r="AT220" s="99">
        <v>0.95</v>
      </c>
      <c r="AU220" s="200">
        <f>+WEEKNUM('Score BD'!$H220)-WEEKNUM(DATE(YEAR('Score BD'!$H220),MONTH('Score BD'!$H220),1))+1</f>
        <v>3</v>
      </c>
    </row>
    <row r="221" spans="1:47" ht="17.45" customHeight="1" x14ac:dyDescent="0.3">
      <c r="A221" s="49" t="str">
        <f t="shared" si="33"/>
        <v>Ministerio de Educación Nacional</v>
      </c>
      <c r="B221" s="50">
        <f>+IFERROR(COUNTIF($J$3:J221,J221)," ")</f>
        <v>16</v>
      </c>
      <c r="C221" s="54" t="str">
        <f>+'Score BD'!$J221&amp;'Score BD'!$B221</f>
        <v>Natalia Cañón Betancourt16</v>
      </c>
      <c r="D221" s="91" t="s">
        <v>148</v>
      </c>
      <c r="E221" s="92" t="s">
        <v>164</v>
      </c>
      <c r="F221" s="92" t="s">
        <v>212</v>
      </c>
      <c r="G221" s="60" t="str">
        <f t="shared" si="34"/>
        <v>Noviembre</v>
      </c>
      <c r="H221" s="67">
        <v>45975</v>
      </c>
      <c r="I221" s="243">
        <v>45974</v>
      </c>
      <c r="J221" s="57" t="s">
        <v>181</v>
      </c>
      <c r="K221" s="54">
        <f>IFERROR(VLOOKUP('Score BD'!$J221,Lista!A:B,2,0)," ")</f>
        <v>1000383417</v>
      </c>
      <c r="L221" s="61" t="s">
        <v>469</v>
      </c>
      <c r="M221" s="59" t="s">
        <v>4</v>
      </c>
      <c r="N221" s="59" t="s">
        <v>4</v>
      </c>
      <c r="O221" s="59" t="s">
        <v>4</v>
      </c>
      <c r="P221" s="59" t="s">
        <v>4</v>
      </c>
      <c r="Q221" s="96">
        <f t="shared" si="35"/>
        <v>1</v>
      </c>
      <c r="R221" s="59" t="s">
        <v>4</v>
      </c>
      <c r="S221" s="59" t="s">
        <v>4</v>
      </c>
      <c r="T221" s="59" t="s">
        <v>4</v>
      </c>
      <c r="U221" s="59" t="s">
        <v>4</v>
      </c>
      <c r="V221" s="45">
        <f t="shared" si="36"/>
        <v>1</v>
      </c>
      <c r="W221" s="59" t="s">
        <v>4</v>
      </c>
      <c r="X221" s="59" t="s">
        <v>4</v>
      </c>
      <c r="Y221" s="59" t="s">
        <v>4</v>
      </c>
      <c r="Z221" s="59" t="s">
        <v>4</v>
      </c>
      <c r="AA221" s="59" t="s">
        <v>4</v>
      </c>
      <c r="AB221" s="59" t="s">
        <v>4</v>
      </c>
      <c r="AC221" s="45">
        <f t="shared" si="37"/>
        <v>1.000000000000002</v>
      </c>
      <c r="AD221" s="43" t="s">
        <v>4</v>
      </c>
      <c r="AE221" s="43" t="s">
        <v>4</v>
      </c>
      <c r="AF221" s="97">
        <f t="shared" si="38"/>
        <v>1</v>
      </c>
      <c r="AG221" s="44">
        <f t="shared" si="39"/>
        <v>1.0000000000000004</v>
      </c>
      <c r="AH221" s="55">
        <f t="shared" si="40"/>
        <v>0</v>
      </c>
      <c r="AI221" s="55">
        <f>COUNTIF('Score BD'!$M221:$P221,"no")</f>
        <v>0</v>
      </c>
      <c r="AJ221" s="55">
        <f t="shared" si="41"/>
        <v>0</v>
      </c>
      <c r="AK221" s="55">
        <f t="shared" si="42"/>
        <v>0</v>
      </c>
      <c r="AL221" s="55">
        <f t="shared" si="43"/>
        <v>0</v>
      </c>
      <c r="AM221" s="104" t="s">
        <v>583</v>
      </c>
      <c r="AN221" s="55"/>
      <c r="AO221" s="61"/>
      <c r="AP221" s="61"/>
      <c r="AQ221" s="59" t="str">
        <f>IFERROR(_xlfn.XLOOKUP(Tabla1[[#This Row],[Cedula agente]],Lista!$B$2:$B$97,Lista!$G$2:$G$97)," ")</f>
        <v>Luisa Fernanda Benavides Castrillon</v>
      </c>
      <c r="AR221" s="59" t="s">
        <v>162</v>
      </c>
      <c r="AS221" s="55" t="str">
        <f>IFERROR(_xlfn.XLOOKUP(Tabla1[[#This Row],[Cedula agente]],Lista!$B$2:$B$97,Lista!$F$2:$F$97)," ")</f>
        <v>John Sebastian Roncancio Avendaño</v>
      </c>
      <c r="AT221" s="99">
        <v>0.95</v>
      </c>
      <c r="AU221" s="200">
        <f>+WEEKNUM('Score BD'!$H221)-WEEKNUM(DATE(YEAR('Score BD'!$H221),MONTH('Score BD'!$H221),1))+1</f>
        <v>3</v>
      </c>
    </row>
    <row r="222" spans="1:47" ht="17.45" customHeight="1" x14ac:dyDescent="0.3">
      <c r="A222" s="49" t="str">
        <f t="shared" si="33"/>
        <v>Ministerio de Educación Nacional</v>
      </c>
      <c r="B222" s="50">
        <f>+IFERROR(COUNTIF($J$3:J222,J222)," ")</f>
        <v>8</v>
      </c>
      <c r="C222" s="54" t="str">
        <f>+'Score BD'!$J222&amp;'Score BD'!$B222</f>
        <v>Quira Alejandra Herrera Camelo8</v>
      </c>
      <c r="D222" s="91" t="s">
        <v>148</v>
      </c>
      <c r="E222" s="92" t="s">
        <v>208</v>
      </c>
      <c r="F222" s="92" t="s">
        <v>212</v>
      </c>
      <c r="G222" s="60" t="str">
        <f t="shared" si="34"/>
        <v>Noviembre</v>
      </c>
      <c r="H222" s="67">
        <v>45975</v>
      </c>
      <c r="I222" s="243">
        <v>45974</v>
      </c>
      <c r="J222" s="57" t="s">
        <v>182</v>
      </c>
      <c r="K222" s="54">
        <f>IFERROR(VLOOKUP('Score BD'!$J222,Lista!A:B,2,0)," ")</f>
        <v>1010214168</v>
      </c>
      <c r="L222" s="61" t="s">
        <v>470</v>
      </c>
      <c r="M222" s="59" t="s">
        <v>4</v>
      </c>
      <c r="N222" s="59" t="s">
        <v>4</v>
      </c>
      <c r="O222" s="59" t="s">
        <v>4</v>
      </c>
      <c r="P222" s="59" t="s">
        <v>4</v>
      </c>
      <c r="Q222" s="96">
        <f t="shared" si="35"/>
        <v>1</v>
      </c>
      <c r="R222" s="59" t="s">
        <v>4</v>
      </c>
      <c r="S222" s="59" t="s">
        <v>4</v>
      </c>
      <c r="T222" s="59" t="s">
        <v>4</v>
      </c>
      <c r="U222" s="59" t="s">
        <v>4</v>
      </c>
      <c r="V222" s="45">
        <f t="shared" si="36"/>
        <v>1</v>
      </c>
      <c r="W222" s="59" t="s">
        <v>4</v>
      </c>
      <c r="X222" s="59" t="s">
        <v>4</v>
      </c>
      <c r="Y222" s="59" t="s">
        <v>4</v>
      </c>
      <c r="Z222" s="59" t="s">
        <v>4</v>
      </c>
      <c r="AA222" s="59" t="s">
        <v>4</v>
      </c>
      <c r="AB222" s="59" t="s">
        <v>4</v>
      </c>
      <c r="AC222" s="45">
        <f t="shared" si="37"/>
        <v>1.000000000000002</v>
      </c>
      <c r="AD222" s="43" t="s">
        <v>4</v>
      </c>
      <c r="AE222" s="43" t="s">
        <v>4</v>
      </c>
      <c r="AF222" s="97">
        <f t="shared" si="38"/>
        <v>1</v>
      </c>
      <c r="AG222" s="44">
        <f t="shared" si="39"/>
        <v>1.0000000000000004</v>
      </c>
      <c r="AH222" s="55">
        <f t="shared" si="40"/>
        <v>0</v>
      </c>
      <c r="AI222" s="55">
        <f>COUNTIF('Score BD'!$M222:$P222,"no")</f>
        <v>0</v>
      </c>
      <c r="AJ222" s="55">
        <f t="shared" si="41"/>
        <v>0</v>
      </c>
      <c r="AK222" s="55">
        <f t="shared" si="42"/>
        <v>0</v>
      </c>
      <c r="AL222" s="55">
        <f t="shared" si="43"/>
        <v>0</v>
      </c>
      <c r="AM222" s="104" t="s">
        <v>583</v>
      </c>
      <c r="AN222" s="55"/>
      <c r="AO222" s="61"/>
      <c r="AP222" s="61"/>
      <c r="AQ222" s="59" t="str">
        <f>IFERROR(_xlfn.XLOOKUP(Tabla1[[#This Row],[Cedula agente]],Lista!$B$2:$B$97,Lista!$G$2:$G$97)," ")</f>
        <v>Luisa Fernanda Benavides Castrillon</v>
      </c>
      <c r="AR222" s="59" t="s">
        <v>162</v>
      </c>
      <c r="AS222" s="55" t="str">
        <f>IFERROR(_xlfn.XLOOKUP(Tabla1[[#This Row],[Cedula agente]],Lista!$B$2:$B$97,Lista!$F$2:$F$97)," ")</f>
        <v>John Sebastian Roncancio Avendaño</v>
      </c>
      <c r="AT222" s="99">
        <v>0.95</v>
      </c>
      <c r="AU222" s="200">
        <f>+WEEKNUM('Score BD'!$H222)-WEEKNUM(DATE(YEAR('Score BD'!$H222),MONTH('Score BD'!$H222),1))+1</f>
        <v>3</v>
      </c>
    </row>
    <row r="223" spans="1:47" ht="17.45" customHeight="1" x14ac:dyDescent="0.3">
      <c r="A223" s="49" t="str">
        <f t="shared" si="33"/>
        <v>Ministerio de Educación Nacional</v>
      </c>
      <c r="B223" s="50">
        <f>+IFERROR(COUNTIF($J$3:J223,J223)," ")</f>
        <v>9</v>
      </c>
      <c r="C223" s="54" t="str">
        <f>+'Score BD'!$J223&amp;'Score BD'!$B223</f>
        <v>Valentina Castillo Rondón9</v>
      </c>
      <c r="D223" s="91" t="s">
        <v>148</v>
      </c>
      <c r="E223" s="92" t="s">
        <v>165</v>
      </c>
      <c r="F223" s="92" t="s">
        <v>212</v>
      </c>
      <c r="G223" s="60" t="str">
        <f t="shared" si="34"/>
        <v>Noviembre</v>
      </c>
      <c r="H223" s="67">
        <v>45975</v>
      </c>
      <c r="I223" s="243">
        <v>45974</v>
      </c>
      <c r="J223" s="57" t="s">
        <v>183</v>
      </c>
      <c r="K223" s="54">
        <f>IFERROR(VLOOKUP('Score BD'!$J223,Lista!A:B,2,0)," ")</f>
        <v>1121950095</v>
      </c>
      <c r="L223" s="61" t="s">
        <v>471</v>
      </c>
      <c r="M223" s="59" t="s">
        <v>4</v>
      </c>
      <c r="N223" s="59" t="s">
        <v>4</v>
      </c>
      <c r="O223" s="59" t="s">
        <v>4</v>
      </c>
      <c r="P223" s="59" t="s">
        <v>4</v>
      </c>
      <c r="Q223" s="96">
        <f t="shared" si="35"/>
        <v>1</v>
      </c>
      <c r="R223" s="59" t="s">
        <v>4</v>
      </c>
      <c r="S223" s="59" t="s">
        <v>4</v>
      </c>
      <c r="T223" s="59" t="s">
        <v>4</v>
      </c>
      <c r="U223" s="59" t="s">
        <v>4</v>
      </c>
      <c r="V223" s="45">
        <f t="shared" si="36"/>
        <v>1</v>
      </c>
      <c r="W223" s="59" t="s">
        <v>4</v>
      </c>
      <c r="X223" s="59" t="s">
        <v>4</v>
      </c>
      <c r="Y223" s="59" t="s">
        <v>4</v>
      </c>
      <c r="Z223" s="59" t="s">
        <v>4</v>
      </c>
      <c r="AA223" s="59" t="s">
        <v>4</v>
      </c>
      <c r="AB223" s="59" t="s">
        <v>4</v>
      </c>
      <c r="AC223" s="45">
        <f t="shared" si="37"/>
        <v>1.000000000000002</v>
      </c>
      <c r="AD223" s="43" t="s">
        <v>4</v>
      </c>
      <c r="AE223" s="43" t="s">
        <v>4</v>
      </c>
      <c r="AF223" s="97">
        <f t="shared" si="38"/>
        <v>1</v>
      </c>
      <c r="AG223" s="44">
        <f t="shared" si="39"/>
        <v>1.0000000000000004</v>
      </c>
      <c r="AH223" s="55">
        <f t="shared" si="40"/>
        <v>0</v>
      </c>
      <c r="AI223" s="55">
        <f>COUNTIF('Score BD'!$M223:$P223,"no")</f>
        <v>0</v>
      </c>
      <c r="AJ223" s="55">
        <f t="shared" si="41"/>
        <v>0</v>
      </c>
      <c r="AK223" s="55">
        <f t="shared" si="42"/>
        <v>0</v>
      </c>
      <c r="AL223" s="55">
        <f t="shared" si="43"/>
        <v>0</v>
      </c>
      <c r="AM223" s="104" t="s">
        <v>583</v>
      </c>
      <c r="AN223" s="55"/>
      <c r="AO223" s="61"/>
      <c r="AP223" s="61"/>
      <c r="AQ223" s="59" t="str">
        <f>IFERROR(_xlfn.XLOOKUP(Tabla1[[#This Row],[Cedula agente]],Lista!$B$2:$B$97,Lista!$G$2:$G$97)," ")</f>
        <v>Luisa Fernanda Benavides Castrillon</v>
      </c>
      <c r="AR223" s="59" t="s">
        <v>162</v>
      </c>
      <c r="AS223" s="55" t="str">
        <f>IFERROR(_xlfn.XLOOKUP(Tabla1[[#This Row],[Cedula agente]],Lista!$B$2:$B$97,Lista!$F$2:$F$97)," ")</f>
        <v>John Sebastian Roncancio Avendaño</v>
      </c>
      <c r="AT223" s="99">
        <v>0.95</v>
      </c>
      <c r="AU223" s="200">
        <f>+WEEKNUM('Score BD'!$H223)-WEEKNUM(DATE(YEAR('Score BD'!$H223),MONTH('Score BD'!$H223),1))+1</f>
        <v>3</v>
      </c>
    </row>
    <row r="224" spans="1:47" ht="17.45" customHeight="1" x14ac:dyDescent="0.3">
      <c r="A224" s="49" t="str">
        <f t="shared" si="33"/>
        <v>Ministerio de Educación Nacional</v>
      </c>
      <c r="B224" s="50">
        <f>+IFERROR(COUNTIF($J$3:J224,J224)," ")</f>
        <v>10</v>
      </c>
      <c r="C224" s="54" t="str">
        <f>+'Score BD'!$J224&amp;'Score BD'!$B224</f>
        <v>Yenny Maribel Duran Ovejero10</v>
      </c>
      <c r="D224" s="91" t="s">
        <v>148</v>
      </c>
      <c r="E224" s="92" t="s">
        <v>165</v>
      </c>
      <c r="F224" s="92" t="s">
        <v>212</v>
      </c>
      <c r="G224" s="60" t="str">
        <f t="shared" si="34"/>
        <v>Noviembre</v>
      </c>
      <c r="H224" s="67">
        <v>45975</v>
      </c>
      <c r="I224" s="243">
        <v>45974</v>
      </c>
      <c r="J224" s="57" t="s">
        <v>206</v>
      </c>
      <c r="K224" s="54">
        <f>IFERROR(VLOOKUP('Score BD'!$J224,Lista!A:B,2,0)," ")</f>
        <v>52962387</v>
      </c>
      <c r="L224" s="61" t="s">
        <v>472</v>
      </c>
      <c r="M224" s="59" t="s">
        <v>4</v>
      </c>
      <c r="N224" s="59" t="s">
        <v>4</v>
      </c>
      <c r="O224" s="59" t="s">
        <v>4</v>
      </c>
      <c r="P224" s="59" t="s">
        <v>4</v>
      </c>
      <c r="Q224" s="96">
        <f t="shared" si="35"/>
        <v>1</v>
      </c>
      <c r="R224" s="59" t="s">
        <v>4</v>
      </c>
      <c r="S224" s="59" t="s">
        <v>4</v>
      </c>
      <c r="T224" s="59" t="s">
        <v>4</v>
      </c>
      <c r="U224" s="59" t="s">
        <v>4</v>
      </c>
      <c r="V224" s="45">
        <f t="shared" si="36"/>
        <v>1</v>
      </c>
      <c r="W224" s="59" t="s">
        <v>4</v>
      </c>
      <c r="X224" s="59" t="s">
        <v>4</v>
      </c>
      <c r="Y224" s="59" t="s">
        <v>4</v>
      </c>
      <c r="Z224" s="59" t="s">
        <v>4</v>
      </c>
      <c r="AA224" s="59" t="s">
        <v>4</v>
      </c>
      <c r="AB224" s="59" t="s">
        <v>4</v>
      </c>
      <c r="AC224" s="45">
        <f t="shared" si="37"/>
        <v>1.000000000000002</v>
      </c>
      <c r="AD224" s="43" t="s">
        <v>4</v>
      </c>
      <c r="AE224" s="43" t="s">
        <v>4</v>
      </c>
      <c r="AF224" s="97">
        <f t="shared" si="38"/>
        <v>1</v>
      </c>
      <c r="AG224" s="44">
        <f t="shared" si="39"/>
        <v>1.0000000000000004</v>
      </c>
      <c r="AH224" s="55">
        <f t="shared" si="40"/>
        <v>0</v>
      </c>
      <c r="AI224" s="55">
        <f>COUNTIF('Score BD'!$M224:$P224,"no")</f>
        <v>0</v>
      </c>
      <c r="AJ224" s="55">
        <f t="shared" si="41"/>
        <v>0</v>
      </c>
      <c r="AK224" s="55">
        <f t="shared" si="42"/>
        <v>0</v>
      </c>
      <c r="AL224" s="55">
        <f t="shared" si="43"/>
        <v>0</v>
      </c>
      <c r="AM224" s="104" t="s">
        <v>583</v>
      </c>
      <c r="AN224" s="55"/>
      <c r="AO224" s="61"/>
      <c r="AP224" s="61"/>
      <c r="AQ224" s="59" t="str">
        <f>IFERROR(_xlfn.XLOOKUP(Tabla1[[#This Row],[Cedula agente]],Lista!$B$2:$B$97,Lista!$G$2:$G$97)," ")</f>
        <v>Luisa Fernanda Benavides Castrillon</v>
      </c>
      <c r="AR224" s="59" t="s">
        <v>162</v>
      </c>
      <c r="AS224" s="55" t="str">
        <f>IFERROR(_xlfn.XLOOKUP(Tabla1[[#This Row],[Cedula agente]],Lista!$B$2:$B$97,Lista!$F$2:$F$97)," ")</f>
        <v>John Sebastian Roncancio Avendaño</v>
      </c>
      <c r="AT224" s="99">
        <v>0.95</v>
      </c>
      <c r="AU224" s="200">
        <f>+WEEKNUM('Score BD'!$H224)-WEEKNUM(DATE(YEAR('Score BD'!$H224),MONTH('Score BD'!$H224),1))+1</f>
        <v>3</v>
      </c>
    </row>
    <row r="225" spans="1:47" ht="17.45" customHeight="1" x14ac:dyDescent="0.3">
      <c r="A225" s="49" t="str">
        <f t="shared" si="33"/>
        <v>Ministerio de Educación Nacional</v>
      </c>
      <c r="B225" s="50">
        <f>+IFERROR(COUNTIF($J$3:J225,J225)," ")</f>
        <v>25</v>
      </c>
      <c r="C225" s="54" t="str">
        <f>+'Score BD'!$J225&amp;'Score BD'!$B225</f>
        <v>Ana Graciela Barbosa Villalobos25</v>
      </c>
      <c r="D225" s="91" t="s">
        <v>148</v>
      </c>
      <c r="E225" s="92" t="s">
        <v>210</v>
      </c>
      <c r="F225" s="92" t="s">
        <v>212</v>
      </c>
      <c r="G225" s="60" t="str">
        <f t="shared" si="34"/>
        <v>Noviembre</v>
      </c>
      <c r="H225" s="67">
        <v>45979</v>
      </c>
      <c r="I225" s="243">
        <v>45975</v>
      </c>
      <c r="J225" s="57" t="s">
        <v>171</v>
      </c>
      <c r="K225" s="54">
        <f>IFERROR(VLOOKUP('Score BD'!$J225,Lista!A:B,2,0)," ")</f>
        <v>1026264261</v>
      </c>
      <c r="L225" s="61" t="s">
        <v>473</v>
      </c>
      <c r="M225" s="59" t="s">
        <v>4</v>
      </c>
      <c r="N225" s="59" t="s">
        <v>4</v>
      </c>
      <c r="O225" s="59" t="s">
        <v>4</v>
      </c>
      <c r="P225" s="59" t="s">
        <v>4</v>
      </c>
      <c r="Q225" s="96">
        <f t="shared" si="35"/>
        <v>1</v>
      </c>
      <c r="R225" s="59" t="s">
        <v>4</v>
      </c>
      <c r="S225" s="59" t="s">
        <v>4</v>
      </c>
      <c r="T225" s="59" t="s">
        <v>4</v>
      </c>
      <c r="U225" s="59" t="s">
        <v>4</v>
      </c>
      <c r="V225" s="45">
        <f t="shared" si="36"/>
        <v>1</v>
      </c>
      <c r="W225" s="59" t="s">
        <v>4</v>
      </c>
      <c r="X225" s="59" t="s">
        <v>4</v>
      </c>
      <c r="Y225" s="59" t="s">
        <v>4</v>
      </c>
      <c r="Z225" s="59" t="s">
        <v>4</v>
      </c>
      <c r="AA225" s="59" t="s">
        <v>4</v>
      </c>
      <c r="AB225" s="59" t="s">
        <v>4</v>
      </c>
      <c r="AC225" s="45">
        <f t="shared" si="37"/>
        <v>1.000000000000002</v>
      </c>
      <c r="AD225" s="43" t="s">
        <v>4</v>
      </c>
      <c r="AE225" s="43" t="s">
        <v>4</v>
      </c>
      <c r="AF225" s="97">
        <f t="shared" si="38"/>
        <v>1</v>
      </c>
      <c r="AG225" s="44">
        <f t="shared" si="39"/>
        <v>1.0000000000000004</v>
      </c>
      <c r="AH225" s="55">
        <f t="shared" si="40"/>
        <v>0</v>
      </c>
      <c r="AI225" s="55">
        <f>COUNTIF('Score BD'!$M225:$P225,"no")</f>
        <v>0</v>
      </c>
      <c r="AJ225" s="55">
        <f t="shared" si="41"/>
        <v>0</v>
      </c>
      <c r="AK225" s="55">
        <f t="shared" si="42"/>
        <v>0</v>
      </c>
      <c r="AL225" s="55">
        <f t="shared" si="43"/>
        <v>0</v>
      </c>
      <c r="AM225" s="104" t="s">
        <v>584</v>
      </c>
      <c r="AN225" s="157"/>
      <c r="AO225" s="157"/>
      <c r="AP225" s="157"/>
      <c r="AQ225" s="59" t="str">
        <f>IFERROR(_xlfn.XLOOKUP(Tabla1[[#This Row],[Cedula agente]],Lista!$B$2:$B$97,Lista!$G$2:$G$97)," ")</f>
        <v>Luisa Fernanda Benavides Castrillon</v>
      </c>
      <c r="AR225" s="59" t="s">
        <v>162</v>
      </c>
      <c r="AS225" s="55" t="str">
        <f>IFERROR(_xlfn.XLOOKUP(Tabla1[[#This Row],[Cedula agente]],Lista!$B$2:$B$97,Lista!$F$2:$F$97)," ")</f>
        <v>John Sebastian Roncancio Avendaño</v>
      </c>
      <c r="AT225" s="99">
        <v>0.95</v>
      </c>
      <c r="AU225" s="200">
        <f>+WEEKNUM('Score BD'!$H225)-WEEKNUM(DATE(YEAR('Score BD'!$H225),MONTH('Score BD'!$H225),1))+1</f>
        <v>4</v>
      </c>
    </row>
    <row r="226" spans="1:47" ht="17.45" customHeight="1" x14ac:dyDescent="0.3">
      <c r="A226" s="49" t="str">
        <f t="shared" si="33"/>
        <v>Ministerio de Educación Nacional</v>
      </c>
      <c r="B226" s="50">
        <f>+IFERROR(COUNTIF($J$3:J226,J226)," ")</f>
        <v>26</v>
      </c>
      <c r="C226" s="54" t="str">
        <f>+'Score BD'!$J226&amp;'Score BD'!$B226</f>
        <v>Ana Graciela Barbosa Villalobos26</v>
      </c>
      <c r="D226" s="91" t="s">
        <v>148</v>
      </c>
      <c r="E226" s="92" t="s">
        <v>210</v>
      </c>
      <c r="F226" s="92" t="s">
        <v>212</v>
      </c>
      <c r="G226" s="60" t="str">
        <f t="shared" si="34"/>
        <v>Noviembre</v>
      </c>
      <c r="H226" s="67">
        <v>45979</v>
      </c>
      <c r="I226" s="243">
        <v>45975</v>
      </c>
      <c r="J226" s="57" t="s">
        <v>171</v>
      </c>
      <c r="K226" s="54">
        <f>IFERROR(VLOOKUP('Score BD'!$J226,Lista!A:B,2,0)," ")</f>
        <v>1026264261</v>
      </c>
      <c r="L226" s="61" t="s">
        <v>474</v>
      </c>
      <c r="M226" s="59" t="s">
        <v>4</v>
      </c>
      <c r="N226" s="59" t="s">
        <v>4</v>
      </c>
      <c r="O226" s="59" t="s">
        <v>4</v>
      </c>
      <c r="P226" s="59" t="s">
        <v>4</v>
      </c>
      <c r="Q226" s="96">
        <f t="shared" si="35"/>
        <v>1</v>
      </c>
      <c r="R226" s="59" t="s">
        <v>4</v>
      </c>
      <c r="S226" s="59" t="s">
        <v>4</v>
      </c>
      <c r="T226" s="59" t="s">
        <v>4</v>
      </c>
      <c r="U226" s="59" t="s">
        <v>4</v>
      </c>
      <c r="V226" s="45">
        <f t="shared" si="36"/>
        <v>1</v>
      </c>
      <c r="W226" s="59" t="s">
        <v>4</v>
      </c>
      <c r="X226" s="59" t="s">
        <v>4</v>
      </c>
      <c r="Y226" s="59" t="s">
        <v>4</v>
      </c>
      <c r="Z226" s="59" t="s">
        <v>4</v>
      </c>
      <c r="AA226" s="59" t="s">
        <v>4</v>
      </c>
      <c r="AB226" s="59" t="s">
        <v>4</v>
      </c>
      <c r="AC226" s="45">
        <f t="shared" si="37"/>
        <v>1.000000000000002</v>
      </c>
      <c r="AD226" s="43" t="s">
        <v>4</v>
      </c>
      <c r="AE226" s="43" t="s">
        <v>4</v>
      </c>
      <c r="AF226" s="97">
        <f t="shared" si="38"/>
        <v>1</v>
      </c>
      <c r="AG226" s="44">
        <f t="shared" si="39"/>
        <v>1.0000000000000004</v>
      </c>
      <c r="AH226" s="55">
        <f t="shared" si="40"/>
        <v>0</v>
      </c>
      <c r="AI226" s="55">
        <f>COUNTIF('Score BD'!$M226:$P226,"no")</f>
        <v>0</v>
      </c>
      <c r="AJ226" s="55">
        <f t="shared" si="41"/>
        <v>0</v>
      </c>
      <c r="AK226" s="55">
        <f t="shared" si="42"/>
        <v>0</v>
      </c>
      <c r="AL226" s="55">
        <f t="shared" si="43"/>
        <v>0</v>
      </c>
      <c r="AM226" s="104" t="s">
        <v>584</v>
      </c>
      <c r="AN226" s="55"/>
      <c r="AO226" s="61"/>
      <c r="AP226" s="61"/>
      <c r="AQ226" s="59" t="str">
        <f>IFERROR(_xlfn.XLOOKUP(Tabla1[[#This Row],[Cedula agente]],Lista!$B$2:$B$97,Lista!$G$2:$G$97)," ")</f>
        <v>Luisa Fernanda Benavides Castrillon</v>
      </c>
      <c r="AR226" s="59" t="s">
        <v>162</v>
      </c>
      <c r="AS226" s="55" t="str">
        <f>IFERROR(_xlfn.XLOOKUP(Tabla1[[#This Row],[Cedula agente]],Lista!$B$2:$B$97,Lista!$F$2:$F$97)," ")</f>
        <v>John Sebastian Roncancio Avendaño</v>
      </c>
      <c r="AT226" s="99">
        <v>0.95</v>
      </c>
      <c r="AU226" s="200">
        <f>+WEEKNUM('Score BD'!$H226)-WEEKNUM(DATE(YEAR('Score BD'!$H226),MONTH('Score BD'!$H226),1))+1</f>
        <v>4</v>
      </c>
    </row>
    <row r="227" spans="1:47" ht="17.45" customHeight="1" x14ac:dyDescent="0.3">
      <c r="A227" s="49" t="str">
        <f t="shared" si="33"/>
        <v>Ministerio de Educación Nacional</v>
      </c>
      <c r="B227" s="50">
        <f>+IFERROR(COUNTIF($J$3:J227,J227)," ")</f>
        <v>6</v>
      </c>
      <c r="C227" s="54" t="str">
        <f>+'Score BD'!$J227&amp;'Score BD'!$B227</f>
        <v>Andrés Felipe Silva Martínez6</v>
      </c>
      <c r="D227" s="91" t="s">
        <v>148</v>
      </c>
      <c r="E227" s="92" t="s">
        <v>208</v>
      </c>
      <c r="F227" s="92" t="s">
        <v>212</v>
      </c>
      <c r="G227" s="60" t="str">
        <f t="shared" si="34"/>
        <v>Noviembre</v>
      </c>
      <c r="H227" s="67">
        <v>45979</v>
      </c>
      <c r="I227" s="243">
        <v>45975</v>
      </c>
      <c r="J227" s="57" t="s">
        <v>228</v>
      </c>
      <c r="K227" s="54">
        <f>IFERROR(VLOOKUP('Score BD'!$J227,Lista!A:B,2,0)," ")</f>
        <v>1120362660</v>
      </c>
      <c r="L227" s="61" t="s">
        <v>475</v>
      </c>
      <c r="M227" s="59" t="s">
        <v>4</v>
      </c>
      <c r="N227" s="59" t="s">
        <v>4</v>
      </c>
      <c r="O227" s="59" t="s">
        <v>4</v>
      </c>
      <c r="P227" s="59" t="s">
        <v>4</v>
      </c>
      <c r="Q227" s="96">
        <f t="shared" si="35"/>
        <v>1</v>
      </c>
      <c r="R227" s="59" t="s">
        <v>4</v>
      </c>
      <c r="S227" s="59" t="s">
        <v>4</v>
      </c>
      <c r="T227" s="59" t="s">
        <v>4</v>
      </c>
      <c r="U227" s="59" t="s">
        <v>4</v>
      </c>
      <c r="V227" s="45">
        <f t="shared" si="36"/>
        <v>1</v>
      </c>
      <c r="W227" s="59" t="s">
        <v>4</v>
      </c>
      <c r="X227" s="59" t="s">
        <v>4</v>
      </c>
      <c r="Y227" s="59" t="s">
        <v>4</v>
      </c>
      <c r="Z227" s="59" t="s">
        <v>4</v>
      </c>
      <c r="AA227" s="59" t="s">
        <v>4</v>
      </c>
      <c r="AB227" s="59" t="s">
        <v>4</v>
      </c>
      <c r="AC227" s="45">
        <f t="shared" si="37"/>
        <v>1.000000000000002</v>
      </c>
      <c r="AD227" s="43" t="s">
        <v>4</v>
      </c>
      <c r="AE227" s="43" t="s">
        <v>4</v>
      </c>
      <c r="AF227" s="97">
        <f t="shared" si="38"/>
        <v>1</v>
      </c>
      <c r="AG227" s="44">
        <f t="shared" si="39"/>
        <v>1.0000000000000004</v>
      </c>
      <c r="AH227" s="55">
        <f t="shared" si="40"/>
        <v>0</v>
      </c>
      <c r="AI227" s="55">
        <f>COUNTIF('Score BD'!$M227:$P227,"no")</f>
        <v>0</v>
      </c>
      <c r="AJ227" s="55">
        <f t="shared" si="41"/>
        <v>0</v>
      </c>
      <c r="AK227" s="55">
        <f t="shared" si="42"/>
        <v>0</v>
      </c>
      <c r="AL227" s="55">
        <f t="shared" si="43"/>
        <v>0</v>
      </c>
      <c r="AM227" s="104" t="s">
        <v>584</v>
      </c>
      <c r="AN227" s="55"/>
      <c r="AO227" s="61"/>
      <c r="AP227" s="61"/>
      <c r="AQ227" s="59" t="str">
        <f>IFERROR(_xlfn.XLOOKUP(Tabla1[[#This Row],[Cedula agente]],Lista!$B$2:$B$97,Lista!$G$2:$G$97)," ")</f>
        <v>Luisa Fernanda Benavides Castrillon</v>
      </c>
      <c r="AR227" s="59" t="s">
        <v>162</v>
      </c>
      <c r="AS227" s="55" t="str">
        <f>IFERROR(_xlfn.XLOOKUP(Tabla1[[#This Row],[Cedula agente]],Lista!$B$2:$B$97,Lista!$F$2:$F$97)," ")</f>
        <v>John Sebastian Roncancio Avendaño</v>
      </c>
      <c r="AT227" s="99">
        <v>0.95</v>
      </c>
      <c r="AU227" s="200">
        <f>+WEEKNUM('Score BD'!$H227)-WEEKNUM(DATE(YEAR('Score BD'!$H227),MONTH('Score BD'!$H227),1))+1</f>
        <v>4</v>
      </c>
    </row>
    <row r="228" spans="1:47" ht="17.45" customHeight="1" x14ac:dyDescent="0.3">
      <c r="A228" s="49" t="str">
        <f t="shared" si="33"/>
        <v>Ministerio de Educación Nacional</v>
      </c>
      <c r="B228" s="50">
        <f>+IFERROR(COUNTIF($J$3:J228,J228)," ")</f>
        <v>10</v>
      </c>
      <c r="C228" s="54" t="str">
        <f>+'Score BD'!$J228&amp;'Score BD'!$B228</f>
        <v>Cesar Rodrigo García10</v>
      </c>
      <c r="D228" s="91" t="s">
        <v>148</v>
      </c>
      <c r="E228" s="92" t="s">
        <v>165</v>
      </c>
      <c r="F228" s="92" t="s">
        <v>212</v>
      </c>
      <c r="G228" s="60" t="str">
        <f t="shared" si="34"/>
        <v>Noviembre</v>
      </c>
      <c r="H228" s="67">
        <v>45979</v>
      </c>
      <c r="I228" s="243">
        <v>45975</v>
      </c>
      <c r="J228" s="57" t="s">
        <v>172</v>
      </c>
      <c r="K228" s="54">
        <f>IFERROR(VLOOKUP('Score BD'!$J228,Lista!A:B,2,0)," ")</f>
        <v>1069257937</v>
      </c>
      <c r="L228" s="61" t="s">
        <v>476</v>
      </c>
      <c r="M228" s="59" t="s">
        <v>4</v>
      </c>
      <c r="N228" s="59" t="s">
        <v>4</v>
      </c>
      <c r="O228" s="59" t="s">
        <v>4</v>
      </c>
      <c r="P228" s="59" t="s">
        <v>4</v>
      </c>
      <c r="Q228" s="96">
        <f t="shared" si="35"/>
        <v>1</v>
      </c>
      <c r="R228" s="59" t="s">
        <v>4</v>
      </c>
      <c r="S228" s="59" t="s">
        <v>4</v>
      </c>
      <c r="T228" s="59" t="s">
        <v>4</v>
      </c>
      <c r="U228" s="59" t="s">
        <v>4</v>
      </c>
      <c r="V228" s="45">
        <f t="shared" si="36"/>
        <v>1</v>
      </c>
      <c r="W228" s="59" t="s">
        <v>4</v>
      </c>
      <c r="X228" s="59" t="s">
        <v>4</v>
      </c>
      <c r="Y228" s="59" t="s">
        <v>4</v>
      </c>
      <c r="Z228" s="59" t="s">
        <v>4</v>
      </c>
      <c r="AA228" s="59" t="s">
        <v>4</v>
      </c>
      <c r="AB228" s="59" t="s">
        <v>4</v>
      </c>
      <c r="AC228" s="45">
        <f t="shared" si="37"/>
        <v>1.000000000000002</v>
      </c>
      <c r="AD228" s="43" t="s">
        <v>4</v>
      </c>
      <c r="AE228" s="43" t="s">
        <v>4</v>
      </c>
      <c r="AF228" s="97">
        <f t="shared" si="38"/>
        <v>1</v>
      </c>
      <c r="AG228" s="44">
        <f t="shared" si="39"/>
        <v>1.0000000000000004</v>
      </c>
      <c r="AH228" s="55">
        <f t="shared" si="40"/>
        <v>0</v>
      </c>
      <c r="AI228" s="55">
        <f>COUNTIF('Score BD'!$M228:$P228,"no")</f>
        <v>0</v>
      </c>
      <c r="AJ228" s="55">
        <f t="shared" si="41"/>
        <v>0</v>
      </c>
      <c r="AK228" s="55">
        <f t="shared" si="42"/>
        <v>0</v>
      </c>
      <c r="AL228" s="55">
        <f t="shared" si="43"/>
        <v>0</v>
      </c>
      <c r="AM228" s="104" t="s">
        <v>584</v>
      </c>
      <c r="AN228" s="55"/>
      <c r="AO228" s="61"/>
      <c r="AP228" s="61"/>
      <c r="AQ228" s="59" t="str">
        <f>IFERROR(_xlfn.XLOOKUP(Tabla1[[#This Row],[Cedula agente]],Lista!$B$2:$B$97,Lista!$G$2:$G$97)," ")</f>
        <v>Luisa Fernanda Benavides Castrillon</v>
      </c>
      <c r="AR228" s="59" t="s">
        <v>162</v>
      </c>
      <c r="AS228" s="55" t="str">
        <f>IFERROR(_xlfn.XLOOKUP(Tabla1[[#This Row],[Cedula agente]],Lista!$B$2:$B$97,Lista!$F$2:$F$97)," ")</f>
        <v>John Sebastian Roncancio Avendaño</v>
      </c>
      <c r="AT228" s="99">
        <v>0.95</v>
      </c>
      <c r="AU228" s="200">
        <f>+WEEKNUM('Score BD'!$H228)-WEEKNUM(DATE(YEAR('Score BD'!$H228),MONTH('Score BD'!$H228),1))+1</f>
        <v>4</v>
      </c>
    </row>
    <row r="229" spans="1:47" ht="17.45" customHeight="1" x14ac:dyDescent="0.3">
      <c r="A229" s="49" t="str">
        <f t="shared" si="33"/>
        <v>Ministerio de Educación Nacional</v>
      </c>
      <c r="B229" s="50">
        <f>+IFERROR(COUNTIF($J$3:J229,J229)," ")</f>
        <v>9</v>
      </c>
      <c r="C229" s="54" t="str">
        <f>+'Score BD'!$J229&amp;'Score BD'!$B229</f>
        <v>Cristian Enrique Benitez Rodriguez9</v>
      </c>
      <c r="D229" s="91" t="s">
        <v>148</v>
      </c>
      <c r="E229" s="92" t="s">
        <v>165</v>
      </c>
      <c r="F229" s="92" t="s">
        <v>212</v>
      </c>
      <c r="G229" s="60" t="str">
        <f t="shared" si="34"/>
        <v>Noviembre</v>
      </c>
      <c r="H229" s="67">
        <v>45979</v>
      </c>
      <c r="I229" s="243">
        <v>45975</v>
      </c>
      <c r="J229" s="57" t="s">
        <v>173</v>
      </c>
      <c r="K229" s="54">
        <f>IFERROR(VLOOKUP('Score BD'!$J229,Lista!A:B,2,0)," ")</f>
        <v>1026574814</v>
      </c>
      <c r="L229" s="61" t="s">
        <v>477</v>
      </c>
      <c r="M229" s="59" t="s">
        <v>4</v>
      </c>
      <c r="N229" s="59" t="s">
        <v>4</v>
      </c>
      <c r="O229" s="59" t="s">
        <v>4</v>
      </c>
      <c r="P229" s="59" t="s">
        <v>4</v>
      </c>
      <c r="Q229" s="96">
        <f t="shared" si="35"/>
        <v>1</v>
      </c>
      <c r="R229" s="59" t="s">
        <v>4</v>
      </c>
      <c r="S229" s="59" t="s">
        <v>4</v>
      </c>
      <c r="T229" s="59" t="s">
        <v>4</v>
      </c>
      <c r="U229" s="59" t="s">
        <v>4</v>
      </c>
      <c r="V229" s="45">
        <f t="shared" si="36"/>
        <v>1</v>
      </c>
      <c r="W229" s="59" t="s">
        <v>4</v>
      </c>
      <c r="X229" s="59" t="s">
        <v>4</v>
      </c>
      <c r="Y229" s="59" t="s">
        <v>4</v>
      </c>
      <c r="Z229" s="59" t="s">
        <v>4</v>
      </c>
      <c r="AA229" s="59" t="s">
        <v>4</v>
      </c>
      <c r="AB229" s="59" t="s">
        <v>4</v>
      </c>
      <c r="AC229" s="45">
        <f t="shared" si="37"/>
        <v>1.000000000000002</v>
      </c>
      <c r="AD229" s="43" t="s">
        <v>4</v>
      </c>
      <c r="AE229" s="43" t="s">
        <v>4</v>
      </c>
      <c r="AF229" s="97">
        <f t="shared" si="38"/>
        <v>1</v>
      </c>
      <c r="AG229" s="44">
        <f t="shared" si="39"/>
        <v>1.0000000000000004</v>
      </c>
      <c r="AH229" s="55">
        <f t="shared" si="40"/>
        <v>0</v>
      </c>
      <c r="AI229" s="55">
        <f>COUNTIF('Score BD'!$M229:$P229,"no")</f>
        <v>0</v>
      </c>
      <c r="AJ229" s="55">
        <f t="shared" si="41"/>
        <v>0</v>
      </c>
      <c r="AK229" s="55">
        <f t="shared" si="42"/>
        <v>0</v>
      </c>
      <c r="AL229" s="55">
        <f t="shared" si="43"/>
        <v>0</v>
      </c>
      <c r="AM229" s="104" t="s">
        <v>584</v>
      </c>
      <c r="AN229" s="55"/>
      <c r="AO229" s="61"/>
      <c r="AP229" s="61"/>
      <c r="AQ229" s="59" t="str">
        <f>IFERROR(_xlfn.XLOOKUP(Tabla1[[#This Row],[Cedula agente]],Lista!$B$2:$B$97,Lista!$G$2:$G$97)," ")</f>
        <v>Luisa Fernanda Benavides Castrillon</v>
      </c>
      <c r="AR229" s="59" t="s">
        <v>162</v>
      </c>
      <c r="AS229" s="55" t="str">
        <f>IFERROR(_xlfn.XLOOKUP(Tabla1[[#This Row],[Cedula agente]],Lista!$B$2:$B$97,Lista!$F$2:$F$97)," ")</f>
        <v>John Sebastian Roncancio Avendaño</v>
      </c>
      <c r="AT229" s="99">
        <v>0.95</v>
      </c>
      <c r="AU229" s="200">
        <f>+WEEKNUM('Score BD'!$H229)-WEEKNUM(DATE(YEAR('Score BD'!$H229),MONTH('Score BD'!$H229),1))+1</f>
        <v>4</v>
      </c>
    </row>
    <row r="230" spans="1:47" ht="17.45" customHeight="1" x14ac:dyDescent="0.3">
      <c r="A230" s="49" t="str">
        <f t="shared" si="33"/>
        <v>Ministerio de Educación Nacional</v>
      </c>
      <c r="B230" s="50">
        <f>+IFERROR(COUNTIF($J$3:J230,J230)," ")</f>
        <v>5</v>
      </c>
      <c r="C230" s="54" t="str">
        <f>+'Score BD'!$J230&amp;'Score BD'!$B230</f>
        <v>Daniela Murillo Solano5</v>
      </c>
      <c r="D230" s="91" t="s">
        <v>148</v>
      </c>
      <c r="E230" s="92" t="s">
        <v>211</v>
      </c>
      <c r="F230" s="92" t="s">
        <v>212</v>
      </c>
      <c r="G230" s="60" t="str">
        <f t="shared" si="34"/>
        <v>Noviembre</v>
      </c>
      <c r="H230" s="67">
        <v>45979</v>
      </c>
      <c r="I230" s="243">
        <v>45975</v>
      </c>
      <c r="J230" s="57" t="s">
        <v>203</v>
      </c>
      <c r="K230" s="54">
        <f>IFERROR(VLOOKUP('Score BD'!$J230,Lista!A:B,2,0)," ")</f>
        <v>1234194276</v>
      </c>
      <c r="L230" s="61" t="s">
        <v>478</v>
      </c>
      <c r="M230" s="59" t="s">
        <v>4</v>
      </c>
      <c r="N230" s="59" t="s">
        <v>4</v>
      </c>
      <c r="O230" s="59" t="s">
        <v>4</v>
      </c>
      <c r="P230" s="59" t="s">
        <v>4</v>
      </c>
      <c r="Q230" s="96">
        <f t="shared" si="35"/>
        <v>1</v>
      </c>
      <c r="R230" s="59" t="s">
        <v>4</v>
      </c>
      <c r="S230" s="59" t="s">
        <v>4</v>
      </c>
      <c r="T230" s="59" t="s">
        <v>4</v>
      </c>
      <c r="U230" s="59" t="s">
        <v>4</v>
      </c>
      <c r="V230" s="45">
        <f t="shared" si="36"/>
        <v>1</v>
      </c>
      <c r="W230" s="59" t="s">
        <v>4</v>
      </c>
      <c r="X230" s="59" t="s">
        <v>4</v>
      </c>
      <c r="Y230" s="59" t="s">
        <v>4</v>
      </c>
      <c r="Z230" s="59" t="s">
        <v>4</v>
      </c>
      <c r="AA230" s="59" t="s">
        <v>4</v>
      </c>
      <c r="AB230" s="59" t="s">
        <v>4</v>
      </c>
      <c r="AC230" s="45">
        <f t="shared" si="37"/>
        <v>1.000000000000002</v>
      </c>
      <c r="AD230" s="43" t="s">
        <v>4</v>
      </c>
      <c r="AE230" s="43" t="s">
        <v>4</v>
      </c>
      <c r="AF230" s="97">
        <f t="shared" si="38"/>
        <v>1</v>
      </c>
      <c r="AG230" s="44">
        <f t="shared" si="39"/>
        <v>1.0000000000000004</v>
      </c>
      <c r="AH230" s="55">
        <f t="shared" si="40"/>
        <v>0</v>
      </c>
      <c r="AI230" s="55">
        <f>COUNTIF('Score BD'!$M230:$P230,"no")</f>
        <v>0</v>
      </c>
      <c r="AJ230" s="55">
        <f t="shared" si="41"/>
        <v>0</v>
      </c>
      <c r="AK230" s="55">
        <f t="shared" si="42"/>
        <v>0</v>
      </c>
      <c r="AL230" s="55">
        <f t="shared" si="43"/>
        <v>0</v>
      </c>
      <c r="AM230" s="104" t="s">
        <v>584</v>
      </c>
      <c r="AN230" s="55"/>
      <c r="AO230" s="61"/>
      <c r="AP230" s="61"/>
      <c r="AQ230" s="59" t="str">
        <f>IFERROR(_xlfn.XLOOKUP(Tabla1[[#This Row],[Cedula agente]],Lista!$B$2:$B$97,Lista!$G$2:$G$97)," ")</f>
        <v>Luisa Fernanda Benavides Castrillon</v>
      </c>
      <c r="AR230" s="59" t="s">
        <v>162</v>
      </c>
      <c r="AS230" s="55" t="str">
        <f>IFERROR(_xlfn.XLOOKUP(Tabla1[[#This Row],[Cedula agente]],Lista!$B$2:$B$97,Lista!$F$2:$F$97)," ")</f>
        <v>John Sebastian Roncancio Avendaño</v>
      </c>
      <c r="AT230" s="99">
        <v>0.95</v>
      </c>
      <c r="AU230" s="200">
        <f>+WEEKNUM('Score BD'!$H230)-WEEKNUM(DATE(YEAR('Score BD'!$H230),MONTH('Score BD'!$H230),1))+1</f>
        <v>4</v>
      </c>
    </row>
    <row r="231" spans="1:47" ht="17.45" customHeight="1" x14ac:dyDescent="0.3">
      <c r="A231" s="49" t="str">
        <f t="shared" si="33"/>
        <v>Ministerio de Educación Nacional</v>
      </c>
      <c r="B231" s="50">
        <f>+IFERROR(COUNTIF($J$3:J231,J231)," ")</f>
        <v>25</v>
      </c>
      <c r="C231" s="54" t="str">
        <f>+'Score BD'!$J231&amp;'Score BD'!$B231</f>
        <v>Erika Natalia Ramírez Herrera25</v>
      </c>
      <c r="D231" s="91" t="s">
        <v>148</v>
      </c>
      <c r="E231" s="92" t="s">
        <v>164</v>
      </c>
      <c r="F231" s="92" t="s">
        <v>212</v>
      </c>
      <c r="G231" s="60" t="str">
        <f t="shared" si="34"/>
        <v>Noviembre</v>
      </c>
      <c r="H231" s="67">
        <v>45979</v>
      </c>
      <c r="I231" s="243">
        <v>45975</v>
      </c>
      <c r="J231" s="57" t="s">
        <v>174</v>
      </c>
      <c r="K231" s="54">
        <f>IFERROR(VLOOKUP('Score BD'!$J231,Lista!A:B,2,0)," ")</f>
        <v>1032367072</v>
      </c>
      <c r="L231" s="61" t="s">
        <v>479</v>
      </c>
      <c r="M231" s="59" t="s">
        <v>4</v>
      </c>
      <c r="N231" s="59" t="s">
        <v>4</v>
      </c>
      <c r="O231" s="59" t="s">
        <v>4</v>
      </c>
      <c r="P231" s="59" t="s">
        <v>4</v>
      </c>
      <c r="Q231" s="96">
        <f t="shared" si="35"/>
        <v>1</v>
      </c>
      <c r="R231" s="59" t="s">
        <v>4</v>
      </c>
      <c r="S231" s="59" t="s">
        <v>4</v>
      </c>
      <c r="T231" s="59" t="s">
        <v>4</v>
      </c>
      <c r="U231" s="59" t="s">
        <v>4</v>
      </c>
      <c r="V231" s="45">
        <f t="shared" si="36"/>
        <v>1</v>
      </c>
      <c r="W231" s="59" t="s">
        <v>4</v>
      </c>
      <c r="X231" s="59" t="s">
        <v>4</v>
      </c>
      <c r="Y231" s="59" t="s">
        <v>4</v>
      </c>
      <c r="Z231" s="59" t="s">
        <v>4</v>
      </c>
      <c r="AA231" s="59" t="s">
        <v>4</v>
      </c>
      <c r="AB231" s="59" t="s">
        <v>4</v>
      </c>
      <c r="AC231" s="45">
        <f t="shared" si="37"/>
        <v>1.000000000000002</v>
      </c>
      <c r="AD231" s="43" t="s">
        <v>4</v>
      </c>
      <c r="AE231" s="43" t="s">
        <v>4</v>
      </c>
      <c r="AF231" s="97">
        <f t="shared" si="38"/>
        <v>1</v>
      </c>
      <c r="AG231" s="44">
        <f t="shared" si="39"/>
        <v>1.0000000000000004</v>
      </c>
      <c r="AH231" s="55">
        <f t="shared" si="40"/>
        <v>0</v>
      </c>
      <c r="AI231" s="55">
        <f>COUNTIF('Score BD'!$M231:$P231,"no")</f>
        <v>0</v>
      </c>
      <c r="AJ231" s="55">
        <f t="shared" si="41"/>
        <v>0</v>
      </c>
      <c r="AK231" s="55">
        <f t="shared" si="42"/>
        <v>0</v>
      </c>
      <c r="AL231" s="55">
        <f t="shared" si="43"/>
        <v>0</v>
      </c>
      <c r="AM231" s="104" t="s">
        <v>584</v>
      </c>
      <c r="AN231" s="55"/>
      <c r="AO231" s="61"/>
      <c r="AP231" s="61"/>
      <c r="AQ231" s="59" t="str">
        <f>IFERROR(_xlfn.XLOOKUP(Tabla1[[#This Row],[Cedula agente]],Lista!$B$2:$B$97,Lista!$G$2:$G$97)," ")</f>
        <v>Luisa Fernanda Benavides Castrillon</v>
      </c>
      <c r="AR231" s="59" t="s">
        <v>162</v>
      </c>
      <c r="AS231" s="55" t="str">
        <f>IFERROR(_xlfn.XLOOKUP(Tabla1[[#This Row],[Cedula agente]],Lista!$B$2:$B$97,Lista!$F$2:$F$97)," ")</f>
        <v>John Sebastian Roncancio Avendaño</v>
      </c>
      <c r="AT231" s="99">
        <v>0.95</v>
      </c>
      <c r="AU231" s="200">
        <f>+WEEKNUM('Score BD'!$H231)-WEEKNUM(DATE(YEAR('Score BD'!$H231),MONTH('Score BD'!$H231),1))+1</f>
        <v>4</v>
      </c>
    </row>
    <row r="232" spans="1:47" ht="17.45" customHeight="1" x14ac:dyDescent="0.3">
      <c r="A232" s="49" t="str">
        <f t="shared" si="33"/>
        <v>Ministerio de Educación Nacional</v>
      </c>
      <c r="B232" s="50">
        <f>+IFERROR(COUNTIF($J$3:J232,J232)," ")</f>
        <v>26</v>
      </c>
      <c r="C232" s="54" t="str">
        <f>+'Score BD'!$J232&amp;'Score BD'!$B232</f>
        <v>Erika Natalia Ramírez Herrera26</v>
      </c>
      <c r="D232" s="91" t="s">
        <v>148</v>
      </c>
      <c r="E232" s="92" t="s">
        <v>164</v>
      </c>
      <c r="F232" s="92" t="s">
        <v>212</v>
      </c>
      <c r="G232" s="60" t="str">
        <f t="shared" si="34"/>
        <v>Noviembre</v>
      </c>
      <c r="H232" s="67">
        <v>45979</v>
      </c>
      <c r="I232" s="243">
        <v>45975</v>
      </c>
      <c r="J232" s="57" t="s">
        <v>174</v>
      </c>
      <c r="K232" s="54">
        <f>IFERROR(VLOOKUP('Score BD'!$J232,Lista!A:B,2,0)," ")</f>
        <v>1032367072</v>
      </c>
      <c r="L232" s="61" t="s">
        <v>480</v>
      </c>
      <c r="M232" s="59" t="s">
        <v>4</v>
      </c>
      <c r="N232" s="59" t="s">
        <v>4</v>
      </c>
      <c r="O232" s="59" t="s">
        <v>4</v>
      </c>
      <c r="P232" s="59" t="s">
        <v>4</v>
      </c>
      <c r="Q232" s="96">
        <f t="shared" si="35"/>
        <v>1</v>
      </c>
      <c r="R232" s="59" t="s">
        <v>4</v>
      </c>
      <c r="S232" s="59" t="s">
        <v>4</v>
      </c>
      <c r="T232" s="59" t="s">
        <v>4</v>
      </c>
      <c r="U232" s="59" t="s">
        <v>4</v>
      </c>
      <c r="V232" s="45">
        <f t="shared" si="36"/>
        <v>1</v>
      </c>
      <c r="W232" s="59" t="s">
        <v>4</v>
      </c>
      <c r="X232" s="59" t="s">
        <v>4</v>
      </c>
      <c r="Y232" s="59" t="s">
        <v>4</v>
      </c>
      <c r="Z232" s="59" t="s">
        <v>4</v>
      </c>
      <c r="AA232" s="59" t="s">
        <v>4</v>
      </c>
      <c r="AB232" s="59" t="s">
        <v>4</v>
      </c>
      <c r="AC232" s="45">
        <f t="shared" si="37"/>
        <v>1.000000000000002</v>
      </c>
      <c r="AD232" s="43" t="s">
        <v>4</v>
      </c>
      <c r="AE232" s="43" t="s">
        <v>4</v>
      </c>
      <c r="AF232" s="97">
        <f t="shared" si="38"/>
        <v>1</v>
      </c>
      <c r="AG232" s="44">
        <f t="shared" si="39"/>
        <v>1.0000000000000004</v>
      </c>
      <c r="AH232" s="55">
        <f t="shared" si="40"/>
        <v>0</v>
      </c>
      <c r="AI232" s="55">
        <f>COUNTIF('Score BD'!$M232:$P232,"no")</f>
        <v>0</v>
      </c>
      <c r="AJ232" s="55">
        <f t="shared" si="41"/>
        <v>0</v>
      </c>
      <c r="AK232" s="55">
        <f t="shared" si="42"/>
        <v>0</v>
      </c>
      <c r="AL232" s="55">
        <f t="shared" si="43"/>
        <v>0</v>
      </c>
      <c r="AM232" s="104" t="s">
        <v>584</v>
      </c>
      <c r="AN232" s="55"/>
      <c r="AO232" s="61"/>
      <c r="AP232" s="61"/>
      <c r="AQ232" s="59" t="str">
        <f>IFERROR(_xlfn.XLOOKUP(Tabla1[[#This Row],[Cedula agente]],Lista!$B$2:$B$97,Lista!$G$2:$G$97)," ")</f>
        <v>Luisa Fernanda Benavides Castrillon</v>
      </c>
      <c r="AR232" s="59" t="s">
        <v>162</v>
      </c>
      <c r="AS232" s="55" t="str">
        <f>IFERROR(_xlfn.XLOOKUP(Tabla1[[#This Row],[Cedula agente]],Lista!$B$2:$B$97,Lista!$F$2:$F$97)," ")</f>
        <v>John Sebastian Roncancio Avendaño</v>
      </c>
      <c r="AT232" s="99">
        <v>0.95</v>
      </c>
      <c r="AU232" s="200">
        <f>+WEEKNUM('Score BD'!$H232)-WEEKNUM(DATE(YEAR('Score BD'!$H232),MONTH('Score BD'!$H232),1))+1</f>
        <v>4</v>
      </c>
    </row>
    <row r="233" spans="1:47" ht="17.45" customHeight="1" x14ac:dyDescent="0.3">
      <c r="A233" s="49" t="str">
        <f t="shared" si="33"/>
        <v>Ministerio de Educación Nacional</v>
      </c>
      <c r="B233" s="50">
        <f>+IFERROR(COUNTIF($J$3:J233,J233)," ")</f>
        <v>27</v>
      </c>
      <c r="C233" s="54" t="str">
        <f>+'Score BD'!$J233&amp;'Score BD'!$B233</f>
        <v>Erika Natalia Ramírez Herrera27</v>
      </c>
      <c r="D233" s="91" t="s">
        <v>148</v>
      </c>
      <c r="E233" s="92" t="s">
        <v>164</v>
      </c>
      <c r="F233" s="92" t="s">
        <v>212</v>
      </c>
      <c r="G233" s="60" t="str">
        <f t="shared" si="34"/>
        <v>Noviembre</v>
      </c>
      <c r="H233" s="67">
        <v>45979</v>
      </c>
      <c r="I233" s="243">
        <v>45975</v>
      </c>
      <c r="J233" s="57" t="s">
        <v>174</v>
      </c>
      <c r="K233" s="54">
        <f>IFERROR(VLOOKUP('Score BD'!$J233,Lista!A:B,2,0)," ")</f>
        <v>1032367072</v>
      </c>
      <c r="L233" s="61" t="s">
        <v>481</v>
      </c>
      <c r="M233" s="59" t="s">
        <v>4</v>
      </c>
      <c r="N233" s="59" t="s">
        <v>4</v>
      </c>
      <c r="O233" s="59" t="s">
        <v>4</v>
      </c>
      <c r="P233" s="59" t="s">
        <v>4</v>
      </c>
      <c r="Q233" s="96">
        <f t="shared" si="35"/>
        <v>1</v>
      </c>
      <c r="R233" s="59" t="s">
        <v>4</v>
      </c>
      <c r="S233" s="59" t="s">
        <v>4</v>
      </c>
      <c r="T233" s="59" t="s">
        <v>4</v>
      </c>
      <c r="U233" s="59" t="s">
        <v>4</v>
      </c>
      <c r="V233" s="45">
        <f t="shared" si="36"/>
        <v>1</v>
      </c>
      <c r="W233" s="59" t="s">
        <v>4</v>
      </c>
      <c r="X233" s="59" t="s">
        <v>4</v>
      </c>
      <c r="Y233" s="59" t="s">
        <v>4</v>
      </c>
      <c r="Z233" s="59" t="s">
        <v>4</v>
      </c>
      <c r="AA233" s="59" t="s">
        <v>4</v>
      </c>
      <c r="AB233" s="59" t="s">
        <v>4</v>
      </c>
      <c r="AC233" s="45">
        <f t="shared" si="37"/>
        <v>1.000000000000002</v>
      </c>
      <c r="AD233" s="43" t="s">
        <v>4</v>
      </c>
      <c r="AE233" s="43" t="s">
        <v>4</v>
      </c>
      <c r="AF233" s="97">
        <f t="shared" si="38"/>
        <v>1</v>
      </c>
      <c r="AG233" s="44">
        <f t="shared" si="39"/>
        <v>1.0000000000000004</v>
      </c>
      <c r="AH233" s="55">
        <f t="shared" si="40"/>
        <v>0</v>
      </c>
      <c r="AI233" s="55">
        <f>COUNTIF('Score BD'!$M233:$P233,"no")</f>
        <v>0</v>
      </c>
      <c r="AJ233" s="55">
        <f t="shared" si="41"/>
        <v>0</v>
      </c>
      <c r="AK233" s="55">
        <f t="shared" si="42"/>
        <v>0</v>
      </c>
      <c r="AL233" s="55">
        <f t="shared" si="43"/>
        <v>0</v>
      </c>
      <c r="AM233" s="104" t="s">
        <v>584</v>
      </c>
      <c r="AN233" s="55"/>
      <c r="AO233" s="61"/>
      <c r="AP233" s="61"/>
      <c r="AQ233" s="59" t="str">
        <f>IFERROR(_xlfn.XLOOKUP(Tabla1[[#This Row],[Cedula agente]],Lista!$B$2:$B$97,Lista!$G$2:$G$97)," ")</f>
        <v>Luisa Fernanda Benavides Castrillon</v>
      </c>
      <c r="AR233" s="59" t="s">
        <v>162</v>
      </c>
      <c r="AS233" s="55" t="str">
        <f>IFERROR(_xlfn.XLOOKUP(Tabla1[[#This Row],[Cedula agente]],Lista!$B$2:$B$97,Lista!$F$2:$F$97)," ")</f>
        <v>John Sebastian Roncancio Avendaño</v>
      </c>
      <c r="AT233" s="99">
        <v>0.95</v>
      </c>
      <c r="AU233" s="200">
        <f>+WEEKNUM('Score BD'!$H233)-WEEKNUM(DATE(YEAR('Score BD'!$H233),MONTH('Score BD'!$H233),1))+1</f>
        <v>4</v>
      </c>
    </row>
    <row r="234" spans="1:47" ht="17.45" customHeight="1" x14ac:dyDescent="0.3">
      <c r="A234" s="49" t="str">
        <f t="shared" si="33"/>
        <v>Ministerio de Educación Nacional</v>
      </c>
      <c r="B234" s="50">
        <f>+IFERROR(COUNTIF($J$3:J234,J234)," ")</f>
        <v>10</v>
      </c>
      <c r="C234" s="54" t="str">
        <f>+'Score BD'!$J234&amp;'Score BD'!$B234</f>
        <v>Henry Eduardo Padilla Castilla10</v>
      </c>
      <c r="D234" s="91" t="s">
        <v>148</v>
      </c>
      <c r="E234" s="92" t="s">
        <v>165</v>
      </c>
      <c r="F234" s="92" t="s">
        <v>212</v>
      </c>
      <c r="G234" s="60" t="str">
        <f t="shared" si="34"/>
        <v>Noviembre</v>
      </c>
      <c r="H234" s="67">
        <v>45979</v>
      </c>
      <c r="I234" s="243">
        <v>45975</v>
      </c>
      <c r="J234" s="57" t="s">
        <v>175</v>
      </c>
      <c r="K234" s="54">
        <f>IFERROR(VLOOKUP('Score BD'!$J234,Lista!A:B,2,0)," ")</f>
        <v>1063968280</v>
      </c>
      <c r="L234" s="61" t="s">
        <v>482</v>
      </c>
      <c r="M234" s="59" t="s">
        <v>4</v>
      </c>
      <c r="N234" s="59" t="s">
        <v>4</v>
      </c>
      <c r="O234" s="59" t="s">
        <v>4</v>
      </c>
      <c r="P234" s="59" t="s">
        <v>4</v>
      </c>
      <c r="Q234" s="96">
        <f t="shared" si="35"/>
        <v>1</v>
      </c>
      <c r="R234" s="59" t="s">
        <v>4</v>
      </c>
      <c r="S234" s="59" t="s">
        <v>4</v>
      </c>
      <c r="T234" s="59" t="s">
        <v>4</v>
      </c>
      <c r="U234" s="59" t="s">
        <v>4</v>
      </c>
      <c r="V234" s="45">
        <f t="shared" si="36"/>
        <v>1</v>
      </c>
      <c r="W234" s="59" t="s">
        <v>4</v>
      </c>
      <c r="X234" s="59" t="s">
        <v>4</v>
      </c>
      <c r="Y234" s="59" t="s">
        <v>4</v>
      </c>
      <c r="Z234" s="59" t="s">
        <v>4</v>
      </c>
      <c r="AA234" s="59" t="s">
        <v>4</v>
      </c>
      <c r="AB234" s="59" t="s">
        <v>4</v>
      </c>
      <c r="AC234" s="45">
        <f t="shared" si="37"/>
        <v>1.000000000000002</v>
      </c>
      <c r="AD234" s="43" t="s">
        <v>4</v>
      </c>
      <c r="AE234" s="43" t="s">
        <v>4</v>
      </c>
      <c r="AF234" s="97">
        <f t="shared" si="38"/>
        <v>1</v>
      </c>
      <c r="AG234" s="44">
        <f t="shared" si="39"/>
        <v>1.0000000000000004</v>
      </c>
      <c r="AH234" s="55">
        <f t="shared" si="40"/>
        <v>0</v>
      </c>
      <c r="AI234" s="55">
        <f>COUNTIF('Score BD'!$M234:$P234,"no")</f>
        <v>0</v>
      </c>
      <c r="AJ234" s="55">
        <f t="shared" si="41"/>
        <v>0</v>
      </c>
      <c r="AK234" s="55">
        <f t="shared" si="42"/>
        <v>0</v>
      </c>
      <c r="AL234" s="55">
        <f t="shared" si="43"/>
        <v>0</v>
      </c>
      <c r="AM234" s="104" t="s">
        <v>584</v>
      </c>
      <c r="AN234" s="55"/>
      <c r="AO234" s="61"/>
      <c r="AP234" s="61"/>
      <c r="AQ234" s="59" t="str">
        <f>IFERROR(_xlfn.XLOOKUP(Tabla1[[#This Row],[Cedula agente]],Lista!$B$2:$B$97,Lista!$G$2:$G$97)," ")</f>
        <v>Luisa Fernanda Benavides Castrillon</v>
      </c>
      <c r="AR234" s="59" t="s">
        <v>162</v>
      </c>
      <c r="AS234" s="55" t="str">
        <f>IFERROR(_xlfn.XLOOKUP(Tabla1[[#This Row],[Cedula agente]],Lista!$B$2:$B$97,Lista!$F$2:$F$97)," ")</f>
        <v>John Sebastian Roncancio Avendaño</v>
      </c>
      <c r="AT234" s="99">
        <v>0.95</v>
      </c>
      <c r="AU234" s="200">
        <f>+WEEKNUM('Score BD'!$H234)-WEEKNUM(DATE(YEAR('Score BD'!$H234),MONTH('Score BD'!$H234),1))+1</f>
        <v>4</v>
      </c>
    </row>
    <row r="235" spans="1:47" ht="17.45" customHeight="1" x14ac:dyDescent="0.3">
      <c r="A235" s="49" t="str">
        <f t="shared" si="33"/>
        <v>Ministerio de Educación Nacional</v>
      </c>
      <c r="B235" s="50">
        <f>+IFERROR(COUNTIF($J$3:J235,J235)," ")</f>
        <v>17</v>
      </c>
      <c r="C235" s="54" t="str">
        <f>+'Score BD'!$J235&amp;'Score BD'!$B235</f>
        <v>Ingrid Carolina Monsalve Quintero17</v>
      </c>
      <c r="D235" s="91" t="s">
        <v>148</v>
      </c>
      <c r="E235" s="92" t="s">
        <v>164</v>
      </c>
      <c r="F235" s="92" t="s">
        <v>212</v>
      </c>
      <c r="G235" s="60" t="str">
        <f t="shared" si="34"/>
        <v>Noviembre</v>
      </c>
      <c r="H235" s="67">
        <v>45979</v>
      </c>
      <c r="I235" s="243">
        <v>45975</v>
      </c>
      <c r="J235" s="57" t="s">
        <v>176</v>
      </c>
      <c r="K235" s="54">
        <f>IFERROR(VLOOKUP('Score BD'!$J235,Lista!A:B,2,0)," ")</f>
        <v>52805909</v>
      </c>
      <c r="L235" s="61" t="s">
        <v>483</v>
      </c>
      <c r="M235" s="59" t="s">
        <v>4</v>
      </c>
      <c r="N235" s="59" t="s">
        <v>4</v>
      </c>
      <c r="O235" s="59" t="s">
        <v>4</v>
      </c>
      <c r="P235" s="59" t="s">
        <v>4</v>
      </c>
      <c r="Q235" s="96">
        <f t="shared" si="35"/>
        <v>1</v>
      </c>
      <c r="R235" s="59" t="s">
        <v>4</v>
      </c>
      <c r="S235" s="59" t="s">
        <v>4</v>
      </c>
      <c r="T235" s="59" t="s">
        <v>4</v>
      </c>
      <c r="U235" s="59" t="s">
        <v>4</v>
      </c>
      <c r="V235" s="45">
        <f t="shared" si="36"/>
        <v>1</v>
      </c>
      <c r="W235" s="59" t="s">
        <v>4</v>
      </c>
      <c r="X235" s="59" t="s">
        <v>4</v>
      </c>
      <c r="Y235" s="59" t="s">
        <v>4</v>
      </c>
      <c r="Z235" s="59" t="s">
        <v>4</v>
      </c>
      <c r="AA235" s="59" t="s">
        <v>4</v>
      </c>
      <c r="AB235" s="59" t="s">
        <v>4</v>
      </c>
      <c r="AC235" s="45">
        <f t="shared" si="37"/>
        <v>1.000000000000002</v>
      </c>
      <c r="AD235" s="43" t="s">
        <v>4</v>
      </c>
      <c r="AE235" s="43" t="s">
        <v>4</v>
      </c>
      <c r="AF235" s="97">
        <f t="shared" si="38"/>
        <v>1</v>
      </c>
      <c r="AG235" s="44">
        <f t="shared" si="39"/>
        <v>1.0000000000000004</v>
      </c>
      <c r="AH235" s="55">
        <f t="shared" si="40"/>
        <v>0</v>
      </c>
      <c r="AI235" s="55">
        <f>COUNTIF('Score BD'!$M235:$P235,"no")</f>
        <v>0</v>
      </c>
      <c r="AJ235" s="55">
        <f t="shared" si="41"/>
        <v>0</v>
      </c>
      <c r="AK235" s="55">
        <f t="shared" si="42"/>
        <v>0</v>
      </c>
      <c r="AL235" s="55">
        <f t="shared" si="43"/>
        <v>0</v>
      </c>
      <c r="AM235" s="104" t="s">
        <v>584</v>
      </c>
      <c r="AN235" s="55"/>
      <c r="AO235" s="61"/>
      <c r="AP235" s="61"/>
      <c r="AQ235" s="59" t="str">
        <f>IFERROR(_xlfn.XLOOKUP(Tabla1[[#This Row],[Cedula agente]],Lista!$B$2:$B$97,Lista!$G$2:$G$97)," ")</f>
        <v>Luisa Fernanda Benavides Castrillon</v>
      </c>
      <c r="AR235" s="59" t="s">
        <v>162</v>
      </c>
      <c r="AS235" s="55" t="str">
        <f>IFERROR(_xlfn.XLOOKUP(Tabla1[[#This Row],[Cedula agente]],Lista!$B$2:$B$97,Lista!$F$2:$F$97)," ")</f>
        <v>John Sebastian Roncancio Avendaño</v>
      </c>
      <c r="AT235" s="99">
        <v>0.95</v>
      </c>
      <c r="AU235" s="200">
        <f>+WEEKNUM('Score BD'!$H235)-WEEKNUM(DATE(YEAR('Score BD'!$H235),MONTH('Score BD'!$H235),1))+1</f>
        <v>4</v>
      </c>
    </row>
    <row r="236" spans="1:47" ht="17.45" customHeight="1" x14ac:dyDescent="0.3">
      <c r="A236" s="49" t="str">
        <f t="shared" si="33"/>
        <v>Ministerio de Educación Nacional</v>
      </c>
      <c r="B236" s="50">
        <f>+IFERROR(COUNTIF($J$3:J236,J236)," ")</f>
        <v>18</v>
      </c>
      <c r="C236" s="54" t="str">
        <f>+'Score BD'!$J236&amp;'Score BD'!$B236</f>
        <v>Ingrid Carolina Monsalve Quintero18</v>
      </c>
      <c r="D236" s="91" t="s">
        <v>148</v>
      </c>
      <c r="E236" s="92" t="s">
        <v>164</v>
      </c>
      <c r="F236" s="92" t="s">
        <v>212</v>
      </c>
      <c r="G236" s="60" t="str">
        <f t="shared" si="34"/>
        <v>Noviembre</v>
      </c>
      <c r="H236" s="67">
        <v>45979</v>
      </c>
      <c r="I236" s="243">
        <v>45975</v>
      </c>
      <c r="J236" s="57" t="s">
        <v>176</v>
      </c>
      <c r="K236" s="54">
        <f>IFERROR(VLOOKUP('Score BD'!$J236,Lista!A:B,2,0)," ")</f>
        <v>52805909</v>
      </c>
      <c r="L236" s="61" t="s">
        <v>484</v>
      </c>
      <c r="M236" s="59" t="s">
        <v>4</v>
      </c>
      <c r="N236" s="59" t="s">
        <v>4</v>
      </c>
      <c r="O236" s="59" t="s">
        <v>4</v>
      </c>
      <c r="P236" s="59" t="s">
        <v>4</v>
      </c>
      <c r="Q236" s="96">
        <f t="shared" si="35"/>
        <v>1</v>
      </c>
      <c r="R236" s="59" t="s">
        <v>4</v>
      </c>
      <c r="S236" s="59" t="s">
        <v>4</v>
      </c>
      <c r="T236" s="59" t="s">
        <v>4</v>
      </c>
      <c r="U236" s="59" t="s">
        <v>4</v>
      </c>
      <c r="V236" s="45">
        <f t="shared" si="36"/>
        <v>1</v>
      </c>
      <c r="W236" s="59" t="s">
        <v>4</v>
      </c>
      <c r="X236" s="59" t="s">
        <v>4</v>
      </c>
      <c r="Y236" s="59" t="s">
        <v>4</v>
      </c>
      <c r="Z236" s="59" t="s">
        <v>4</v>
      </c>
      <c r="AA236" s="59" t="s">
        <v>4</v>
      </c>
      <c r="AB236" s="59" t="s">
        <v>4</v>
      </c>
      <c r="AC236" s="45">
        <f t="shared" si="37"/>
        <v>1.000000000000002</v>
      </c>
      <c r="AD236" s="43" t="s">
        <v>4</v>
      </c>
      <c r="AE236" s="43" t="s">
        <v>4</v>
      </c>
      <c r="AF236" s="97">
        <f t="shared" si="38"/>
        <v>1</v>
      </c>
      <c r="AG236" s="44">
        <f t="shared" si="39"/>
        <v>1.0000000000000004</v>
      </c>
      <c r="AH236" s="55">
        <f t="shared" si="40"/>
        <v>0</v>
      </c>
      <c r="AI236" s="55">
        <f>COUNTIF('Score BD'!$M236:$P236,"no")</f>
        <v>0</v>
      </c>
      <c r="AJ236" s="55">
        <f t="shared" si="41"/>
        <v>0</v>
      </c>
      <c r="AK236" s="55">
        <f t="shared" si="42"/>
        <v>0</v>
      </c>
      <c r="AL236" s="55">
        <f t="shared" si="43"/>
        <v>0</v>
      </c>
      <c r="AM236" s="104" t="s">
        <v>584</v>
      </c>
      <c r="AN236" s="55"/>
      <c r="AO236" s="61"/>
      <c r="AP236" s="61"/>
      <c r="AQ236" s="59" t="str">
        <f>IFERROR(_xlfn.XLOOKUP(Tabla1[[#This Row],[Cedula agente]],Lista!$B$2:$B$97,Lista!$G$2:$G$97)," ")</f>
        <v>Luisa Fernanda Benavides Castrillon</v>
      </c>
      <c r="AR236" s="59" t="s">
        <v>162</v>
      </c>
      <c r="AS236" s="55" t="str">
        <f>IFERROR(_xlfn.XLOOKUP(Tabla1[[#This Row],[Cedula agente]],Lista!$B$2:$B$97,Lista!$F$2:$F$97)," ")</f>
        <v>John Sebastian Roncancio Avendaño</v>
      </c>
      <c r="AT236" s="99">
        <v>0.95</v>
      </c>
      <c r="AU236" s="200">
        <f>+WEEKNUM('Score BD'!$H236)-WEEKNUM(DATE(YEAR('Score BD'!$H236),MONTH('Score BD'!$H236),1))+1</f>
        <v>4</v>
      </c>
    </row>
    <row r="237" spans="1:47" ht="17.45" customHeight="1" x14ac:dyDescent="0.3">
      <c r="A237" s="49" t="str">
        <f t="shared" si="33"/>
        <v>Ministerio de Educación Nacional</v>
      </c>
      <c r="B237" s="50">
        <f>+IFERROR(COUNTIF($J$3:J237,J237)," ")</f>
        <v>8</v>
      </c>
      <c r="C237" s="54" t="str">
        <f>+'Score BD'!$J237&amp;'Score BD'!$B237</f>
        <v>Jesus David Hernandez Fernandez de Castro8</v>
      </c>
      <c r="D237" s="91" t="s">
        <v>148</v>
      </c>
      <c r="E237" s="92" t="s">
        <v>208</v>
      </c>
      <c r="F237" s="92" t="s">
        <v>212</v>
      </c>
      <c r="G237" s="60" t="str">
        <f t="shared" si="34"/>
        <v>Noviembre</v>
      </c>
      <c r="H237" s="67">
        <v>45979</v>
      </c>
      <c r="I237" s="243">
        <v>45975</v>
      </c>
      <c r="J237" s="57" t="s">
        <v>177</v>
      </c>
      <c r="K237" s="54">
        <f>IFERROR(VLOOKUP('Score BD'!$J237,Lista!A:B,2,0)," ")</f>
        <v>1083038013</v>
      </c>
      <c r="L237" s="61" t="s">
        <v>485</v>
      </c>
      <c r="M237" s="59" t="s">
        <v>4</v>
      </c>
      <c r="N237" s="59" t="s">
        <v>4</v>
      </c>
      <c r="O237" s="59" t="s">
        <v>4</v>
      </c>
      <c r="P237" s="59" t="s">
        <v>4</v>
      </c>
      <c r="Q237" s="96">
        <f t="shared" si="35"/>
        <v>1</v>
      </c>
      <c r="R237" s="59" t="s">
        <v>4</v>
      </c>
      <c r="S237" s="59" t="s">
        <v>4</v>
      </c>
      <c r="T237" s="59" t="s">
        <v>4</v>
      </c>
      <c r="U237" s="59" t="s">
        <v>4</v>
      </c>
      <c r="V237" s="45">
        <f t="shared" si="36"/>
        <v>1</v>
      </c>
      <c r="W237" s="59" t="s">
        <v>4</v>
      </c>
      <c r="X237" s="59" t="s">
        <v>4</v>
      </c>
      <c r="Y237" s="59" t="s">
        <v>4</v>
      </c>
      <c r="Z237" s="59" t="s">
        <v>4</v>
      </c>
      <c r="AA237" s="59" t="s">
        <v>4</v>
      </c>
      <c r="AB237" s="59" t="s">
        <v>4</v>
      </c>
      <c r="AC237" s="45">
        <f t="shared" si="37"/>
        <v>1.000000000000002</v>
      </c>
      <c r="AD237" s="43" t="s">
        <v>4</v>
      </c>
      <c r="AE237" s="43" t="s">
        <v>4</v>
      </c>
      <c r="AF237" s="97">
        <f t="shared" si="38"/>
        <v>1</v>
      </c>
      <c r="AG237" s="44">
        <f t="shared" si="39"/>
        <v>1.0000000000000004</v>
      </c>
      <c r="AH237" s="55">
        <f t="shared" si="40"/>
        <v>0</v>
      </c>
      <c r="AI237" s="55">
        <f>COUNTIF('Score BD'!$M237:$P237,"no")</f>
        <v>0</v>
      </c>
      <c r="AJ237" s="55">
        <f t="shared" si="41"/>
        <v>0</v>
      </c>
      <c r="AK237" s="55">
        <f t="shared" si="42"/>
        <v>0</v>
      </c>
      <c r="AL237" s="55">
        <f t="shared" si="43"/>
        <v>0</v>
      </c>
      <c r="AM237" s="104" t="s">
        <v>584</v>
      </c>
      <c r="AN237" s="55"/>
      <c r="AO237" s="61"/>
      <c r="AP237" s="61"/>
      <c r="AQ237" s="59" t="str">
        <f>IFERROR(_xlfn.XLOOKUP(Tabla1[[#This Row],[Cedula agente]],Lista!$B$2:$B$97,Lista!$G$2:$G$97)," ")</f>
        <v>Luisa Fernanda Benavides Castrillon</v>
      </c>
      <c r="AR237" s="59" t="s">
        <v>162</v>
      </c>
      <c r="AS237" s="55" t="str">
        <f>IFERROR(_xlfn.XLOOKUP(Tabla1[[#This Row],[Cedula agente]],Lista!$B$2:$B$97,Lista!$F$2:$F$97)," ")</f>
        <v>John Sebastian Roncancio Avendaño</v>
      </c>
      <c r="AT237" s="99">
        <v>0.95</v>
      </c>
      <c r="AU237" s="200">
        <f>+WEEKNUM('Score BD'!$H237)-WEEKNUM(DATE(YEAR('Score BD'!$H237),MONTH('Score BD'!$H237),1))+1</f>
        <v>4</v>
      </c>
    </row>
    <row r="238" spans="1:47" ht="17.45" customHeight="1" x14ac:dyDescent="0.3">
      <c r="A238" s="49" t="str">
        <f t="shared" si="33"/>
        <v>Ministerio de Educación Nacional</v>
      </c>
      <c r="B238" s="50">
        <f>+IFERROR(COUNTIF($J$3:J238,J238)," ")</f>
        <v>16</v>
      </c>
      <c r="C238" s="54" t="str">
        <f>+'Score BD'!$J238&amp;'Score BD'!$B238</f>
        <v>Juan Jose Santoya Medina16</v>
      </c>
      <c r="D238" s="91" t="s">
        <v>148</v>
      </c>
      <c r="E238" s="92" t="s">
        <v>165</v>
      </c>
      <c r="F238" s="92" t="s">
        <v>212</v>
      </c>
      <c r="G238" s="60" t="str">
        <f t="shared" si="34"/>
        <v>Noviembre</v>
      </c>
      <c r="H238" s="67">
        <v>45979</v>
      </c>
      <c r="I238" s="243">
        <v>45975</v>
      </c>
      <c r="J238" s="57" t="s">
        <v>178</v>
      </c>
      <c r="K238" s="54">
        <f>IFERROR(VLOOKUP('Score BD'!$J238,Lista!A:B,2,0)," ")</f>
        <v>1053345183</v>
      </c>
      <c r="L238" s="61" t="s">
        <v>486</v>
      </c>
      <c r="M238" s="59" t="s">
        <v>4</v>
      </c>
      <c r="N238" s="59" t="s">
        <v>4</v>
      </c>
      <c r="O238" s="59" t="s">
        <v>4</v>
      </c>
      <c r="P238" s="59" t="s">
        <v>4</v>
      </c>
      <c r="Q238" s="96">
        <f t="shared" si="35"/>
        <v>1</v>
      </c>
      <c r="R238" s="59" t="s">
        <v>4</v>
      </c>
      <c r="S238" s="59" t="s">
        <v>4</v>
      </c>
      <c r="T238" s="59" t="s">
        <v>4</v>
      </c>
      <c r="U238" s="59" t="s">
        <v>4</v>
      </c>
      <c r="V238" s="45">
        <f t="shared" si="36"/>
        <v>1</v>
      </c>
      <c r="W238" s="59" t="s">
        <v>4</v>
      </c>
      <c r="X238" s="59" t="s">
        <v>4</v>
      </c>
      <c r="Y238" s="59" t="s">
        <v>4</v>
      </c>
      <c r="Z238" s="59" t="s">
        <v>4</v>
      </c>
      <c r="AA238" s="59" t="s">
        <v>4</v>
      </c>
      <c r="AB238" s="59" t="s">
        <v>4</v>
      </c>
      <c r="AC238" s="45">
        <f t="shared" si="37"/>
        <v>1.000000000000002</v>
      </c>
      <c r="AD238" s="43" t="s">
        <v>4</v>
      </c>
      <c r="AE238" s="43" t="s">
        <v>4</v>
      </c>
      <c r="AF238" s="97">
        <f t="shared" si="38"/>
        <v>1</v>
      </c>
      <c r="AG238" s="44">
        <f t="shared" si="39"/>
        <v>1.0000000000000004</v>
      </c>
      <c r="AH238" s="55">
        <f t="shared" si="40"/>
        <v>0</v>
      </c>
      <c r="AI238" s="55">
        <f>COUNTIF('Score BD'!$M238:$P238,"no")</f>
        <v>0</v>
      </c>
      <c r="AJ238" s="55">
        <f t="shared" si="41"/>
        <v>0</v>
      </c>
      <c r="AK238" s="55">
        <f t="shared" si="42"/>
        <v>0</v>
      </c>
      <c r="AL238" s="55">
        <f t="shared" si="43"/>
        <v>0</v>
      </c>
      <c r="AM238" s="104" t="s">
        <v>584</v>
      </c>
      <c r="AN238" s="55"/>
      <c r="AO238" s="61"/>
      <c r="AP238" s="61"/>
      <c r="AQ238" s="59" t="str">
        <f>IFERROR(_xlfn.XLOOKUP(Tabla1[[#This Row],[Cedula agente]],Lista!$B$2:$B$97,Lista!$G$2:$G$97)," ")</f>
        <v>Luisa Fernanda Benavides Castrillon</v>
      </c>
      <c r="AR238" s="59" t="s">
        <v>162</v>
      </c>
      <c r="AS238" s="55" t="str">
        <f>IFERROR(_xlfn.XLOOKUP(Tabla1[[#This Row],[Cedula agente]],Lista!$B$2:$B$97,Lista!$F$2:$F$97)," ")</f>
        <v>John Sebastian Roncancio Avendaño</v>
      </c>
      <c r="AT238" s="99">
        <v>0.95</v>
      </c>
      <c r="AU238" s="200">
        <f>+WEEKNUM('Score BD'!$H238)-WEEKNUM(DATE(YEAR('Score BD'!$H238),MONTH('Score BD'!$H238),1))+1</f>
        <v>4</v>
      </c>
    </row>
    <row r="239" spans="1:47" ht="17.45" customHeight="1" x14ac:dyDescent="0.3">
      <c r="A239" s="49" t="str">
        <f t="shared" si="33"/>
        <v>Ministerio de Educación Nacional</v>
      </c>
      <c r="B239" s="50">
        <f>+IFERROR(COUNTIF($J$3:J239,J239)," ")</f>
        <v>17</v>
      </c>
      <c r="C239" s="54" t="str">
        <f>+'Score BD'!$J239&amp;'Score BD'!$B239</f>
        <v>Juan Jose Santoya Medina17</v>
      </c>
      <c r="D239" s="91" t="s">
        <v>148</v>
      </c>
      <c r="E239" s="92" t="s">
        <v>165</v>
      </c>
      <c r="F239" s="92" t="s">
        <v>212</v>
      </c>
      <c r="G239" s="60" t="str">
        <f t="shared" si="34"/>
        <v>Noviembre</v>
      </c>
      <c r="H239" s="67">
        <v>45979</v>
      </c>
      <c r="I239" s="243">
        <v>45975</v>
      </c>
      <c r="J239" s="57" t="s">
        <v>178</v>
      </c>
      <c r="K239" s="54">
        <f>IFERROR(VLOOKUP('Score BD'!$J239,Lista!A:B,2,0)," ")</f>
        <v>1053345183</v>
      </c>
      <c r="L239" s="61" t="s">
        <v>487</v>
      </c>
      <c r="M239" s="59" t="s">
        <v>4</v>
      </c>
      <c r="N239" s="59" t="s">
        <v>4</v>
      </c>
      <c r="O239" s="59" t="s">
        <v>4</v>
      </c>
      <c r="P239" s="59" t="s">
        <v>4</v>
      </c>
      <c r="Q239" s="96">
        <f t="shared" si="35"/>
        <v>1</v>
      </c>
      <c r="R239" s="59" t="s">
        <v>4</v>
      </c>
      <c r="S239" s="59" t="s">
        <v>4</v>
      </c>
      <c r="T239" s="59" t="s">
        <v>4</v>
      </c>
      <c r="U239" s="59" t="s">
        <v>4</v>
      </c>
      <c r="V239" s="45">
        <f t="shared" si="36"/>
        <v>1</v>
      </c>
      <c r="W239" s="59" t="s">
        <v>4</v>
      </c>
      <c r="X239" s="59" t="s">
        <v>4</v>
      </c>
      <c r="Y239" s="59" t="s">
        <v>4</v>
      </c>
      <c r="Z239" s="59" t="s">
        <v>4</v>
      </c>
      <c r="AA239" s="59" t="s">
        <v>4</v>
      </c>
      <c r="AB239" s="59" t="s">
        <v>4</v>
      </c>
      <c r="AC239" s="45">
        <f t="shared" si="37"/>
        <v>1.000000000000002</v>
      </c>
      <c r="AD239" s="43" t="s">
        <v>4</v>
      </c>
      <c r="AE239" s="43" t="s">
        <v>4</v>
      </c>
      <c r="AF239" s="97">
        <f t="shared" si="38"/>
        <v>1</v>
      </c>
      <c r="AG239" s="44">
        <f t="shared" si="39"/>
        <v>1.0000000000000004</v>
      </c>
      <c r="AH239" s="55">
        <f t="shared" si="40"/>
        <v>0</v>
      </c>
      <c r="AI239" s="55">
        <f>COUNTIF('Score BD'!$M239:$P239,"no")</f>
        <v>0</v>
      </c>
      <c r="AJ239" s="55">
        <f t="shared" si="41"/>
        <v>0</v>
      </c>
      <c r="AK239" s="55">
        <f t="shared" si="42"/>
        <v>0</v>
      </c>
      <c r="AL239" s="55">
        <f t="shared" si="43"/>
        <v>0</v>
      </c>
      <c r="AM239" s="104" t="s">
        <v>584</v>
      </c>
      <c r="AN239" s="157"/>
      <c r="AO239" s="157"/>
      <c r="AP239" s="157"/>
      <c r="AQ239" s="59" t="str">
        <f>IFERROR(_xlfn.XLOOKUP(Tabla1[[#This Row],[Cedula agente]],Lista!$B$2:$B$97,Lista!$G$2:$G$97)," ")</f>
        <v>Luisa Fernanda Benavides Castrillon</v>
      </c>
      <c r="AR239" s="59" t="s">
        <v>162</v>
      </c>
      <c r="AS239" s="55" t="str">
        <f>IFERROR(_xlfn.XLOOKUP(Tabla1[[#This Row],[Cedula agente]],Lista!$B$2:$B$97,Lista!$F$2:$F$97)," ")</f>
        <v>John Sebastian Roncancio Avendaño</v>
      </c>
      <c r="AT239" s="99">
        <v>0.95</v>
      </c>
      <c r="AU239" s="200">
        <f>+WEEKNUM('Score BD'!$H239)-WEEKNUM(DATE(YEAR('Score BD'!$H239),MONTH('Score BD'!$H239),1))+1</f>
        <v>4</v>
      </c>
    </row>
    <row r="240" spans="1:47" ht="17.45" customHeight="1" x14ac:dyDescent="0.3">
      <c r="A240" s="49" t="str">
        <f t="shared" si="33"/>
        <v>Ministerio de Educación Nacional</v>
      </c>
      <c r="B240" s="50">
        <f>+IFERROR(COUNTIF($J$3:J240,J240)," ")</f>
        <v>11</v>
      </c>
      <c r="C240" s="54" t="str">
        <f>+'Score BD'!$J240&amp;'Score BD'!$B240</f>
        <v>Juan Sebastián Suárez Morales11</v>
      </c>
      <c r="D240" s="91" t="s">
        <v>148</v>
      </c>
      <c r="E240" s="92" t="s">
        <v>165</v>
      </c>
      <c r="F240" s="92" t="s">
        <v>212</v>
      </c>
      <c r="G240" s="60" t="str">
        <f t="shared" si="34"/>
        <v>Noviembre</v>
      </c>
      <c r="H240" s="67">
        <v>45979</v>
      </c>
      <c r="I240" s="243">
        <v>45975</v>
      </c>
      <c r="J240" s="57" t="s">
        <v>179</v>
      </c>
      <c r="K240" s="54">
        <f>IFERROR(VLOOKUP('Score BD'!$J240,Lista!A:B,2,0)," ")</f>
        <v>1030541070</v>
      </c>
      <c r="L240" s="61" t="s">
        <v>488</v>
      </c>
      <c r="M240" s="59" t="s">
        <v>4</v>
      </c>
      <c r="N240" s="59" t="s">
        <v>4</v>
      </c>
      <c r="O240" s="59" t="s">
        <v>4</v>
      </c>
      <c r="P240" s="59" t="s">
        <v>4</v>
      </c>
      <c r="Q240" s="96">
        <f t="shared" si="35"/>
        <v>1</v>
      </c>
      <c r="R240" s="59" t="s">
        <v>4</v>
      </c>
      <c r="S240" s="59" t="s">
        <v>4</v>
      </c>
      <c r="T240" s="59" t="s">
        <v>4</v>
      </c>
      <c r="U240" s="59" t="s">
        <v>4</v>
      </c>
      <c r="V240" s="45">
        <f t="shared" si="36"/>
        <v>1</v>
      </c>
      <c r="W240" s="59" t="s">
        <v>4</v>
      </c>
      <c r="X240" s="59" t="s">
        <v>4</v>
      </c>
      <c r="Y240" s="59" t="s">
        <v>4</v>
      </c>
      <c r="Z240" s="59" t="s">
        <v>4</v>
      </c>
      <c r="AA240" s="59" t="s">
        <v>4</v>
      </c>
      <c r="AB240" s="59" t="s">
        <v>4</v>
      </c>
      <c r="AC240" s="45">
        <f t="shared" si="37"/>
        <v>1.000000000000002</v>
      </c>
      <c r="AD240" s="43" t="s">
        <v>4</v>
      </c>
      <c r="AE240" s="43" t="s">
        <v>4</v>
      </c>
      <c r="AF240" s="97">
        <f t="shared" si="38"/>
        <v>1</v>
      </c>
      <c r="AG240" s="44">
        <f t="shared" si="39"/>
        <v>1.0000000000000004</v>
      </c>
      <c r="AH240" s="55">
        <f t="shared" si="40"/>
        <v>0</v>
      </c>
      <c r="AI240" s="55">
        <f>COUNTIF('Score BD'!$M240:$P240,"no")</f>
        <v>0</v>
      </c>
      <c r="AJ240" s="55">
        <f t="shared" si="41"/>
        <v>0</v>
      </c>
      <c r="AK240" s="55">
        <f t="shared" si="42"/>
        <v>0</v>
      </c>
      <c r="AL240" s="55">
        <f t="shared" si="43"/>
        <v>0</v>
      </c>
      <c r="AM240" s="104" t="s">
        <v>584</v>
      </c>
      <c r="AN240" s="55"/>
      <c r="AO240" s="61"/>
      <c r="AP240" s="61"/>
      <c r="AQ240" s="59" t="str">
        <f>IFERROR(_xlfn.XLOOKUP(Tabla1[[#This Row],[Cedula agente]],Lista!$B$2:$B$97,Lista!$G$2:$G$97)," ")</f>
        <v>Luisa Fernanda Benavides Castrillon</v>
      </c>
      <c r="AR240" s="59" t="s">
        <v>162</v>
      </c>
      <c r="AS240" s="55" t="str">
        <f>IFERROR(_xlfn.XLOOKUP(Tabla1[[#This Row],[Cedula agente]],Lista!$B$2:$B$97,Lista!$F$2:$F$97)," ")</f>
        <v>John Sebastian Roncancio Avendaño</v>
      </c>
      <c r="AT240" s="99">
        <v>0.95</v>
      </c>
      <c r="AU240" s="200">
        <f>+WEEKNUM('Score BD'!$H240)-WEEKNUM(DATE(YEAR('Score BD'!$H240),MONTH('Score BD'!$H240),1))+1</f>
        <v>4</v>
      </c>
    </row>
    <row r="241" spans="1:47" ht="17.45" customHeight="1" x14ac:dyDescent="0.3">
      <c r="A241" s="49" t="str">
        <f t="shared" si="33"/>
        <v>Ministerio de Educación Nacional</v>
      </c>
      <c r="B241" s="50">
        <f>+IFERROR(COUNTIF($J$3:J241,J241)," ")</f>
        <v>9</v>
      </c>
      <c r="C241" s="54" t="str">
        <f>+'Score BD'!$J241&amp;'Score BD'!$B241</f>
        <v>Laura Juliana Rueda Durán9</v>
      </c>
      <c r="D241" s="91" t="s">
        <v>148</v>
      </c>
      <c r="E241" s="92" t="s">
        <v>165</v>
      </c>
      <c r="F241" s="92" t="s">
        <v>212</v>
      </c>
      <c r="G241" s="60" t="str">
        <f t="shared" si="34"/>
        <v>Noviembre</v>
      </c>
      <c r="H241" s="67">
        <v>45979</v>
      </c>
      <c r="I241" s="243">
        <v>45975</v>
      </c>
      <c r="J241" s="57" t="s">
        <v>180</v>
      </c>
      <c r="K241" s="54">
        <f>IFERROR(VLOOKUP('Score BD'!$J241,Lista!A:B,2,0)," ")</f>
        <v>1026291591</v>
      </c>
      <c r="L241" s="61" t="s">
        <v>489</v>
      </c>
      <c r="M241" s="59" t="s">
        <v>4</v>
      </c>
      <c r="N241" s="59" t="s">
        <v>4</v>
      </c>
      <c r="O241" s="59" t="s">
        <v>4</v>
      </c>
      <c r="P241" s="59" t="s">
        <v>4</v>
      </c>
      <c r="Q241" s="96">
        <f t="shared" si="35"/>
        <v>1</v>
      </c>
      <c r="R241" s="59" t="s">
        <v>4</v>
      </c>
      <c r="S241" s="59" t="s">
        <v>4</v>
      </c>
      <c r="T241" s="59" t="s">
        <v>4</v>
      </c>
      <c r="U241" s="59" t="s">
        <v>4</v>
      </c>
      <c r="V241" s="45">
        <f t="shared" si="36"/>
        <v>1</v>
      </c>
      <c r="W241" s="59" t="s">
        <v>4</v>
      </c>
      <c r="X241" s="59" t="s">
        <v>4</v>
      </c>
      <c r="Y241" s="59" t="s">
        <v>4</v>
      </c>
      <c r="Z241" s="59" t="s">
        <v>4</v>
      </c>
      <c r="AA241" s="59" t="s">
        <v>4</v>
      </c>
      <c r="AB241" s="59" t="s">
        <v>4</v>
      </c>
      <c r="AC241" s="45">
        <f t="shared" si="37"/>
        <v>1.000000000000002</v>
      </c>
      <c r="AD241" s="43" t="s">
        <v>4</v>
      </c>
      <c r="AE241" s="43" t="s">
        <v>4</v>
      </c>
      <c r="AF241" s="97">
        <f t="shared" si="38"/>
        <v>1</v>
      </c>
      <c r="AG241" s="44">
        <f t="shared" si="39"/>
        <v>1.0000000000000004</v>
      </c>
      <c r="AH241" s="55">
        <f t="shared" si="40"/>
        <v>0</v>
      </c>
      <c r="AI241" s="55">
        <f>COUNTIF('Score BD'!$M241:$P241,"no")</f>
        <v>0</v>
      </c>
      <c r="AJ241" s="55">
        <f t="shared" si="41"/>
        <v>0</v>
      </c>
      <c r="AK241" s="55">
        <f t="shared" si="42"/>
        <v>0</v>
      </c>
      <c r="AL241" s="55">
        <f t="shared" si="43"/>
        <v>0</v>
      </c>
      <c r="AM241" s="104" t="s">
        <v>584</v>
      </c>
      <c r="AN241" s="55"/>
      <c r="AO241" s="61"/>
      <c r="AP241" s="61"/>
      <c r="AQ241" s="59" t="str">
        <f>IFERROR(_xlfn.XLOOKUP(Tabla1[[#This Row],[Cedula agente]],Lista!$B$2:$B$97,Lista!$G$2:$G$97)," ")</f>
        <v>Luisa Fernanda Benavides Castrillon</v>
      </c>
      <c r="AR241" s="59" t="s">
        <v>162</v>
      </c>
      <c r="AS241" s="55" t="str">
        <f>IFERROR(_xlfn.XLOOKUP(Tabla1[[#This Row],[Cedula agente]],Lista!$B$2:$B$97,Lista!$F$2:$F$97)," ")</f>
        <v>John Sebastian Roncancio Avendaño</v>
      </c>
      <c r="AT241" s="99">
        <v>0.95</v>
      </c>
      <c r="AU241" s="200">
        <f>+WEEKNUM('Score BD'!$H241)-WEEKNUM(DATE(YEAR('Score BD'!$H241),MONTH('Score BD'!$H241),1))+1</f>
        <v>4</v>
      </c>
    </row>
    <row r="242" spans="1:47" ht="17.45" customHeight="1" x14ac:dyDescent="0.3">
      <c r="A242" s="49" t="str">
        <f t="shared" si="33"/>
        <v>Ministerio de Educación Nacional</v>
      </c>
      <c r="B242" s="50">
        <f>+IFERROR(COUNTIF($J$3:J242,J242)," ")</f>
        <v>9</v>
      </c>
      <c r="C242" s="54" t="str">
        <f>+'Score BD'!$J242&amp;'Score BD'!$B242</f>
        <v>Laura Ximena Sandoval Galindo9</v>
      </c>
      <c r="D242" s="91" t="s">
        <v>148</v>
      </c>
      <c r="E242" s="92" t="s">
        <v>208</v>
      </c>
      <c r="F242" s="92" t="s">
        <v>105</v>
      </c>
      <c r="G242" s="60" t="str">
        <f t="shared" si="34"/>
        <v>Noviembre</v>
      </c>
      <c r="H242" s="67">
        <v>45979</v>
      </c>
      <c r="I242" s="243">
        <v>45975</v>
      </c>
      <c r="J242" s="57" t="s">
        <v>201</v>
      </c>
      <c r="K242" s="54">
        <f>IFERROR(VLOOKUP('Score BD'!$J242,Lista!A:B,2,0)," ")</f>
        <v>1030678660</v>
      </c>
      <c r="L242" s="61" t="s">
        <v>490</v>
      </c>
      <c r="M242" s="59" t="s">
        <v>4</v>
      </c>
      <c r="N242" s="59" t="s">
        <v>4</v>
      </c>
      <c r="O242" s="59" t="s">
        <v>4</v>
      </c>
      <c r="P242" s="59" t="s">
        <v>4</v>
      </c>
      <c r="Q242" s="96">
        <f t="shared" si="35"/>
        <v>1</v>
      </c>
      <c r="R242" s="59" t="s">
        <v>4</v>
      </c>
      <c r="S242" s="59" t="s">
        <v>4</v>
      </c>
      <c r="T242" s="59" t="s">
        <v>4</v>
      </c>
      <c r="U242" s="59" t="s">
        <v>4</v>
      </c>
      <c r="V242" s="45">
        <f t="shared" si="36"/>
        <v>1</v>
      </c>
      <c r="W242" s="59" t="s">
        <v>4</v>
      </c>
      <c r="X242" s="59" t="s">
        <v>4</v>
      </c>
      <c r="Y242" s="59" t="s">
        <v>4</v>
      </c>
      <c r="Z242" s="59" t="s">
        <v>4</v>
      </c>
      <c r="AA242" s="59" t="s">
        <v>4</v>
      </c>
      <c r="AB242" s="59" t="s">
        <v>4</v>
      </c>
      <c r="AC242" s="45">
        <f t="shared" si="37"/>
        <v>1.000000000000002</v>
      </c>
      <c r="AD242" s="43" t="s">
        <v>4</v>
      </c>
      <c r="AE242" s="43" t="s">
        <v>4</v>
      </c>
      <c r="AF242" s="97">
        <f t="shared" si="38"/>
        <v>1</v>
      </c>
      <c r="AG242" s="44">
        <f t="shared" si="39"/>
        <v>1.0000000000000004</v>
      </c>
      <c r="AH242" s="55">
        <f t="shared" si="40"/>
        <v>0</v>
      </c>
      <c r="AI242" s="55">
        <f>COUNTIF('Score BD'!$M242:$P242,"no")</f>
        <v>0</v>
      </c>
      <c r="AJ242" s="55">
        <f t="shared" si="41"/>
        <v>0</v>
      </c>
      <c r="AK242" s="55">
        <f t="shared" si="42"/>
        <v>0</v>
      </c>
      <c r="AL242" s="55">
        <f t="shared" si="43"/>
        <v>0</v>
      </c>
      <c r="AM242" s="104" t="s">
        <v>584</v>
      </c>
      <c r="AN242" s="55"/>
      <c r="AO242" s="61"/>
      <c r="AP242" s="61"/>
      <c r="AQ242" s="59" t="str">
        <f>IFERROR(_xlfn.XLOOKUP(Tabla1[[#This Row],[Cedula agente]],Lista!$B$2:$B$97,Lista!$G$2:$G$97)," ")</f>
        <v>Luisa Fernanda Benavides Castrillon</v>
      </c>
      <c r="AR242" s="59" t="s">
        <v>162</v>
      </c>
      <c r="AS242" s="55" t="str">
        <f>IFERROR(_xlfn.XLOOKUP(Tabla1[[#This Row],[Cedula agente]],Lista!$B$2:$B$97,Lista!$F$2:$F$97)," ")</f>
        <v>John Sebastian Roncancio Avendaño</v>
      </c>
      <c r="AT242" s="99">
        <v>0.95</v>
      </c>
      <c r="AU242" s="200">
        <f>+WEEKNUM('Score BD'!$H242)-WEEKNUM(DATE(YEAR('Score BD'!$H242),MONTH('Score BD'!$H242),1))+1</f>
        <v>4</v>
      </c>
    </row>
    <row r="243" spans="1:47" ht="17.45" customHeight="1" x14ac:dyDescent="0.3">
      <c r="A243" s="49" t="str">
        <f t="shared" si="33"/>
        <v>Ministerio de Educación Nacional</v>
      </c>
      <c r="B243" s="50">
        <f>+IFERROR(COUNTIF($J$3:J243,J243)," ")</f>
        <v>17</v>
      </c>
      <c r="C243" s="54" t="str">
        <f>+'Score BD'!$J243&amp;'Score BD'!$B243</f>
        <v>Maira Alejandra Rodriguez Losada17</v>
      </c>
      <c r="D243" s="91" t="s">
        <v>148</v>
      </c>
      <c r="E243" s="92" t="s">
        <v>164</v>
      </c>
      <c r="F243" s="92" t="s">
        <v>212</v>
      </c>
      <c r="G243" s="60" t="str">
        <f t="shared" si="34"/>
        <v>Noviembre</v>
      </c>
      <c r="H243" s="67">
        <v>45979</v>
      </c>
      <c r="I243" s="243">
        <v>45975</v>
      </c>
      <c r="J243" s="57" t="s">
        <v>204</v>
      </c>
      <c r="K243" s="54">
        <f>IFERROR(VLOOKUP('Score BD'!$J243,Lista!A:B,2,0)," ")</f>
        <v>1075224344</v>
      </c>
      <c r="L243" s="61" t="s">
        <v>491</v>
      </c>
      <c r="M243" s="59" t="s">
        <v>4</v>
      </c>
      <c r="N243" s="59" t="s">
        <v>4</v>
      </c>
      <c r="O243" s="59" t="s">
        <v>4</v>
      </c>
      <c r="P243" s="59" t="s">
        <v>4</v>
      </c>
      <c r="Q243" s="96">
        <f t="shared" si="35"/>
        <v>1</v>
      </c>
      <c r="R243" s="59" t="s">
        <v>4</v>
      </c>
      <c r="S243" s="59" t="s">
        <v>4</v>
      </c>
      <c r="T243" s="59" t="s">
        <v>4</v>
      </c>
      <c r="U243" s="59" t="s">
        <v>4</v>
      </c>
      <c r="V243" s="45">
        <f t="shared" si="36"/>
        <v>1</v>
      </c>
      <c r="W243" s="59" t="s">
        <v>4</v>
      </c>
      <c r="X243" s="59" t="s">
        <v>4</v>
      </c>
      <c r="Y243" s="59" t="s">
        <v>4</v>
      </c>
      <c r="Z243" s="59" t="s">
        <v>4</v>
      </c>
      <c r="AA243" s="59" t="s">
        <v>4</v>
      </c>
      <c r="AB243" s="59" t="s">
        <v>4</v>
      </c>
      <c r="AC243" s="45">
        <f t="shared" si="37"/>
        <v>1.000000000000002</v>
      </c>
      <c r="AD243" s="43" t="s">
        <v>4</v>
      </c>
      <c r="AE243" s="43" t="s">
        <v>4</v>
      </c>
      <c r="AF243" s="97">
        <f t="shared" si="38"/>
        <v>1</v>
      </c>
      <c r="AG243" s="44">
        <f t="shared" si="39"/>
        <v>1.0000000000000004</v>
      </c>
      <c r="AH243" s="55">
        <f t="shared" si="40"/>
        <v>0</v>
      </c>
      <c r="AI243" s="55">
        <f>COUNTIF('Score BD'!$M243:$P243,"no")</f>
        <v>0</v>
      </c>
      <c r="AJ243" s="55">
        <f t="shared" si="41"/>
        <v>0</v>
      </c>
      <c r="AK243" s="55">
        <f t="shared" si="42"/>
        <v>0</v>
      </c>
      <c r="AL243" s="55">
        <f t="shared" si="43"/>
        <v>0</v>
      </c>
      <c r="AM243" s="104" t="s">
        <v>584</v>
      </c>
      <c r="AN243" s="55"/>
      <c r="AO243" s="61"/>
      <c r="AP243" s="61"/>
      <c r="AQ243" s="59" t="str">
        <f>IFERROR(_xlfn.XLOOKUP(Tabla1[[#This Row],[Cedula agente]],Lista!$B$2:$B$97,Lista!$G$2:$G$97)," ")</f>
        <v>Luisa Fernanda Benavides Castrillon</v>
      </c>
      <c r="AR243" s="59" t="s">
        <v>162</v>
      </c>
      <c r="AS243" s="55" t="str">
        <f>IFERROR(_xlfn.XLOOKUP(Tabla1[[#This Row],[Cedula agente]],Lista!$B$2:$B$97,Lista!$F$2:$F$97)," ")</f>
        <v>John Sebastian Roncancio Avendaño</v>
      </c>
      <c r="AT243" s="99">
        <v>0.95</v>
      </c>
      <c r="AU243" s="200">
        <f>+WEEKNUM('Score BD'!$H243)-WEEKNUM(DATE(YEAR('Score BD'!$H243),MONTH('Score BD'!$H243),1))+1</f>
        <v>4</v>
      </c>
    </row>
    <row r="244" spans="1:47" ht="17.45" customHeight="1" x14ac:dyDescent="0.3">
      <c r="A244" s="49" t="str">
        <f t="shared" si="33"/>
        <v>Ministerio de Educación Nacional</v>
      </c>
      <c r="B244" s="50">
        <f>+IFERROR(COUNTIF($J$3:J244,J244)," ")</f>
        <v>18</v>
      </c>
      <c r="C244" s="54" t="str">
        <f>+'Score BD'!$J244&amp;'Score BD'!$B244</f>
        <v>Maira Alejandra Rodriguez Losada18</v>
      </c>
      <c r="D244" s="91" t="s">
        <v>148</v>
      </c>
      <c r="E244" s="92" t="s">
        <v>164</v>
      </c>
      <c r="F244" s="92" t="s">
        <v>212</v>
      </c>
      <c r="G244" s="60" t="str">
        <f t="shared" si="34"/>
        <v>Noviembre</v>
      </c>
      <c r="H244" s="67">
        <v>45979</v>
      </c>
      <c r="I244" s="243">
        <v>45975</v>
      </c>
      <c r="J244" s="57" t="s">
        <v>204</v>
      </c>
      <c r="K244" s="54">
        <f>IFERROR(VLOOKUP('Score BD'!$J244,Lista!A:B,2,0)," ")</f>
        <v>1075224344</v>
      </c>
      <c r="L244" s="61" t="s">
        <v>492</v>
      </c>
      <c r="M244" s="59" t="s">
        <v>4</v>
      </c>
      <c r="N244" s="59" t="s">
        <v>4</v>
      </c>
      <c r="O244" s="59" t="s">
        <v>4</v>
      </c>
      <c r="P244" s="59" t="s">
        <v>4</v>
      </c>
      <c r="Q244" s="96">
        <f t="shared" si="35"/>
        <v>1</v>
      </c>
      <c r="R244" s="59" t="s">
        <v>4</v>
      </c>
      <c r="S244" s="59" t="s">
        <v>4</v>
      </c>
      <c r="T244" s="59" t="s">
        <v>4</v>
      </c>
      <c r="U244" s="59" t="s">
        <v>4</v>
      </c>
      <c r="V244" s="45">
        <f t="shared" si="36"/>
        <v>1</v>
      </c>
      <c r="W244" s="59" t="s">
        <v>4</v>
      </c>
      <c r="X244" s="59" t="s">
        <v>4</v>
      </c>
      <c r="Y244" s="59" t="s">
        <v>4</v>
      </c>
      <c r="Z244" s="59" t="s">
        <v>4</v>
      </c>
      <c r="AA244" s="59" t="s">
        <v>4</v>
      </c>
      <c r="AB244" s="59" t="s">
        <v>4</v>
      </c>
      <c r="AC244" s="45">
        <f t="shared" si="37"/>
        <v>1.000000000000002</v>
      </c>
      <c r="AD244" s="43" t="s">
        <v>4</v>
      </c>
      <c r="AE244" s="43" t="s">
        <v>4</v>
      </c>
      <c r="AF244" s="97">
        <f t="shared" si="38"/>
        <v>1</v>
      </c>
      <c r="AG244" s="44">
        <f t="shared" si="39"/>
        <v>1.0000000000000004</v>
      </c>
      <c r="AH244" s="55">
        <f t="shared" si="40"/>
        <v>0</v>
      </c>
      <c r="AI244" s="55">
        <f>COUNTIF('Score BD'!$M244:$P244,"no")</f>
        <v>0</v>
      </c>
      <c r="AJ244" s="55">
        <f t="shared" si="41"/>
        <v>0</v>
      </c>
      <c r="AK244" s="55">
        <f t="shared" si="42"/>
        <v>0</v>
      </c>
      <c r="AL244" s="55">
        <f t="shared" si="43"/>
        <v>0</v>
      </c>
      <c r="AM244" s="104" t="s">
        <v>584</v>
      </c>
      <c r="AN244" s="55"/>
      <c r="AO244" s="61"/>
      <c r="AP244" s="61"/>
      <c r="AQ244" s="59" t="str">
        <f>IFERROR(_xlfn.XLOOKUP(Tabla1[[#This Row],[Cedula agente]],Lista!$B$2:$B$97,Lista!$G$2:$G$97)," ")</f>
        <v>Luisa Fernanda Benavides Castrillon</v>
      </c>
      <c r="AR244" s="59" t="s">
        <v>162</v>
      </c>
      <c r="AS244" s="55" t="str">
        <f>IFERROR(_xlfn.XLOOKUP(Tabla1[[#This Row],[Cedula agente]],Lista!$B$2:$B$97,Lista!$F$2:$F$97)," ")</f>
        <v>John Sebastian Roncancio Avendaño</v>
      </c>
      <c r="AT244" s="99">
        <v>0.95</v>
      </c>
      <c r="AU244" s="200">
        <f>+WEEKNUM('Score BD'!$H244)-WEEKNUM(DATE(YEAR('Score BD'!$H244),MONTH('Score BD'!$H244),1))+1</f>
        <v>4</v>
      </c>
    </row>
    <row r="245" spans="1:47" ht="17.45" customHeight="1" x14ac:dyDescent="0.3">
      <c r="A245" s="49" t="str">
        <f t="shared" si="33"/>
        <v>Ministerio de Educación Nacional</v>
      </c>
      <c r="B245" s="50">
        <f>+IFERROR(COUNTIF($J$3:J245,J245)," ")</f>
        <v>17</v>
      </c>
      <c r="C245" s="54" t="str">
        <f>+'Score BD'!$J245&amp;'Score BD'!$B245</f>
        <v>María José Uribe Medina17</v>
      </c>
      <c r="D245" s="91" t="s">
        <v>148</v>
      </c>
      <c r="E245" s="92" t="s">
        <v>164</v>
      </c>
      <c r="F245" s="92" t="s">
        <v>212</v>
      </c>
      <c r="G245" s="60" t="str">
        <f t="shared" si="34"/>
        <v>Noviembre</v>
      </c>
      <c r="H245" s="67">
        <v>45979</v>
      </c>
      <c r="I245" s="243">
        <v>45975</v>
      </c>
      <c r="J245" s="57" t="s">
        <v>205</v>
      </c>
      <c r="K245" s="54">
        <f>IFERROR(VLOOKUP('Score BD'!$J245,Lista!A:B,2,0)," ")</f>
        <v>1121919150</v>
      </c>
      <c r="L245" s="61" t="s">
        <v>493</v>
      </c>
      <c r="M245" s="59" t="s">
        <v>4</v>
      </c>
      <c r="N245" s="59" t="s">
        <v>4</v>
      </c>
      <c r="O245" s="59" t="s">
        <v>4</v>
      </c>
      <c r="P245" s="59" t="s">
        <v>4</v>
      </c>
      <c r="Q245" s="96">
        <f t="shared" si="35"/>
        <v>1</v>
      </c>
      <c r="R245" s="59" t="s">
        <v>4</v>
      </c>
      <c r="S245" s="59" t="s">
        <v>4</v>
      </c>
      <c r="T245" s="59" t="s">
        <v>4</v>
      </c>
      <c r="U245" s="59" t="s">
        <v>4</v>
      </c>
      <c r="V245" s="45">
        <f t="shared" si="36"/>
        <v>1</v>
      </c>
      <c r="W245" s="59" t="s">
        <v>4</v>
      </c>
      <c r="X245" s="59" t="s">
        <v>4</v>
      </c>
      <c r="Y245" s="59" t="s">
        <v>4</v>
      </c>
      <c r="Z245" s="59" t="s">
        <v>4</v>
      </c>
      <c r="AA245" s="59" t="s">
        <v>4</v>
      </c>
      <c r="AB245" s="59" t="s">
        <v>4</v>
      </c>
      <c r="AC245" s="45">
        <f t="shared" si="37"/>
        <v>1.000000000000002</v>
      </c>
      <c r="AD245" s="43" t="s">
        <v>4</v>
      </c>
      <c r="AE245" s="43" t="s">
        <v>4</v>
      </c>
      <c r="AF245" s="97">
        <f t="shared" si="38"/>
        <v>1</v>
      </c>
      <c r="AG245" s="44">
        <f t="shared" si="39"/>
        <v>1.0000000000000004</v>
      </c>
      <c r="AH245" s="55">
        <f t="shared" si="40"/>
        <v>0</v>
      </c>
      <c r="AI245" s="55">
        <f>COUNTIF('Score BD'!$M245:$P245,"no")</f>
        <v>0</v>
      </c>
      <c r="AJ245" s="55">
        <f t="shared" si="41"/>
        <v>0</v>
      </c>
      <c r="AK245" s="55">
        <f t="shared" si="42"/>
        <v>0</v>
      </c>
      <c r="AL245" s="55">
        <f t="shared" si="43"/>
        <v>0</v>
      </c>
      <c r="AM245" s="104" t="s">
        <v>584</v>
      </c>
      <c r="AN245" s="55"/>
      <c r="AO245" s="61"/>
      <c r="AP245" s="61"/>
      <c r="AQ245" s="59" t="str">
        <f>IFERROR(_xlfn.XLOOKUP(Tabla1[[#This Row],[Cedula agente]],Lista!$B$2:$B$97,Lista!$G$2:$G$97)," ")</f>
        <v>Luisa Fernanda Benavides Castrillon</v>
      </c>
      <c r="AR245" s="59" t="s">
        <v>162</v>
      </c>
      <c r="AS245" s="55" t="str">
        <f>IFERROR(_xlfn.XLOOKUP(Tabla1[[#This Row],[Cedula agente]],Lista!$B$2:$B$97,Lista!$F$2:$F$97)," ")</f>
        <v>John Sebastian Roncancio Avendaño</v>
      </c>
      <c r="AT245" s="99">
        <v>0.95</v>
      </c>
      <c r="AU245" s="200">
        <f>+WEEKNUM('Score BD'!$H245)-WEEKNUM(DATE(YEAR('Score BD'!$H245),MONTH('Score BD'!$H245),1))+1</f>
        <v>4</v>
      </c>
    </row>
    <row r="246" spans="1:47" ht="17.45" customHeight="1" x14ac:dyDescent="0.3">
      <c r="A246" s="49" t="str">
        <f t="shared" si="33"/>
        <v>Ministerio de Educación Nacional</v>
      </c>
      <c r="B246" s="50">
        <f>+IFERROR(COUNTIF($J$3:J246,J246)," ")</f>
        <v>18</v>
      </c>
      <c r="C246" s="54" t="str">
        <f>+'Score BD'!$J246&amp;'Score BD'!$B246</f>
        <v>María José Uribe Medina18</v>
      </c>
      <c r="D246" s="91" t="s">
        <v>148</v>
      </c>
      <c r="E246" s="92" t="s">
        <v>164</v>
      </c>
      <c r="F246" s="92" t="s">
        <v>212</v>
      </c>
      <c r="G246" s="60" t="str">
        <f t="shared" si="34"/>
        <v>Noviembre</v>
      </c>
      <c r="H246" s="67">
        <v>45979</v>
      </c>
      <c r="I246" s="243">
        <v>45975</v>
      </c>
      <c r="J246" s="57" t="s">
        <v>205</v>
      </c>
      <c r="K246" s="54">
        <f>IFERROR(VLOOKUP('Score BD'!$J246,Lista!A:B,2,0)," ")</f>
        <v>1121919150</v>
      </c>
      <c r="L246" s="61" t="s">
        <v>494</v>
      </c>
      <c r="M246" s="59" t="s">
        <v>4</v>
      </c>
      <c r="N246" s="59" t="s">
        <v>4</v>
      </c>
      <c r="O246" s="59" t="s">
        <v>4</v>
      </c>
      <c r="P246" s="59" t="s">
        <v>4</v>
      </c>
      <c r="Q246" s="96">
        <f t="shared" si="35"/>
        <v>1</v>
      </c>
      <c r="R246" s="59" t="s">
        <v>4</v>
      </c>
      <c r="S246" s="59" t="s">
        <v>4</v>
      </c>
      <c r="T246" s="59" t="s">
        <v>4</v>
      </c>
      <c r="U246" s="59" t="s">
        <v>4</v>
      </c>
      <c r="V246" s="45">
        <f t="shared" si="36"/>
        <v>1</v>
      </c>
      <c r="W246" s="59" t="s">
        <v>4</v>
      </c>
      <c r="X246" s="59" t="s">
        <v>4</v>
      </c>
      <c r="Y246" s="59" t="s">
        <v>4</v>
      </c>
      <c r="Z246" s="59" t="s">
        <v>4</v>
      </c>
      <c r="AA246" s="59" t="s">
        <v>4</v>
      </c>
      <c r="AB246" s="59" t="s">
        <v>4</v>
      </c>
      <c r="AC246" s="45">
        <f t="shared" si="37"/>
        <v>1.000000000000002</v>
      </c>
      <c r="AD246" s="43" t="s">
        <v>4</v>
      </c>
      <c r="AE246" s="43" t="s">
        <v>4</v>
      </c>
      <c r="AF246" s="97">
        <f t="shared" si="38"/>
        <v>1</v>
      </c>
      <c r="AG246" s="44">
        <f t="shared" si="39"/>
        <v>1.0000000000000004</v>
      </c>
      <c r="AH246" s="55">
        <f t="shared" si="40"/>
        <v>0</v>
      </c>
      <c r="AI246" s="55">
        <f>COUNTIF('Score BD'!$M246:$P246,"no")</f>
        <v>0</v>
      </c>
      <c r="AJ246" s="55">
        <f t="shared" si="41"/>
        <v>0</v>
      </c>
      <c r="AK246" s="55">
        <f t="shared" si="42"/>
        <v>0</v>
      </c>
      <c r="AL246" s="55">
        <f t="shared" si="43"/>
        <v>0</v>
      </c>
      <c r="AM246" s="104" t="s">
        <v>584</v>
      </c>
      <c r="AN246" s="157"/>
      <c r="AO246" s="157"/>
      <c r="AP246" s="157"/>
      <c r="AQ246" s="59" t="str">
        <f>IFERROR(_xlfn.XLOOKUP(Tabla1[[#This Row],[Cedula agente]],Lista!$B$2:$B$97,Lista!$G$2:$G$97)," ")</f>
        <v>Luisa Fernanda Benavides Castrillon</v>
      </c>
      <c r="AR246" s="59" t="s">
        <v>162</v>
      </c>
      <c r="AS246" s="55" t="str">
        <f>IFERROR(_xlfn.XLOOKUP(Tabla1[[#This Row],[Cedula agente]],Lista!$B$2:$B$97,Lista!$F$2:$F$97)," ")</f>
        <v>John Sebastian Roncancio Avendaño</v>
      </c>
      <c r="AT246" s="99">
        <v>0.95</v>
      </c>
      <c r="AU246" s="200">
        <f>+WEEKNUM('Score BD'!$H246)-WEEKNUM(DATE(YEAR('Score BD'!$H246),MONTH('Score BD'!$H246),1))+1</f>
        <v>4</v>
      </c>
    </row>
    <row r="247" spans="1:47" ht="17.45" customHeight="1" x14ac:dyDescent="0.3">
      <c r="A247" s="49" t="str">
        <f t="shared" si="33"/>
        <v>Ministerio de Educación Nacional</v>
      </c>
      <c r="B247" s="50">
        <f>+IFERROR(COUNTIF($J$3:J247,J247)," ")</f>
        <v>17</v>
      </c>
      <c r="C247" s="54" t="str">
        <f>+'Score BD'!$J247&amp;'Score BD'!$B247</f>
        <v>Natalia Cañón Betancourt17</v>
      </c>
      <c r="D247" s="91" t="s">
        <v>148</v>
      </c>
      <c r="E247" s="92" t="s">
        <v>164</v>
      </c>
      <c r="F247" s="92" t="s">
        <v>212</v>
      </c>
      <c r="G247" s="60" t="str">
        <f t="shared" si="34"/>
        <v>Noviembre</v>
      </c>
      <c r="H247" s="67">
        <v>45979</v>
      </c>
      <c r="I247" s="243">
        <v>45975</v>
      </c>
      <c r="J247" s="57" t="s">
        <v>181</v>
      </c>
      <c r="K247" s="54">
        <f>IFERROR(VLOOKUP('Score BD'!$J247,Lista!A:B,2,0)," ")</f>
        <v>1000383417</v>
      </c>
      <c r="L247" s="61" t="s">
        <v>495</v>
      </c>
      <c r="M247" s="59" t="s">
        <v>4</v>
      </c>
      <c r="N247" s="59" t="s">
        <v>4</v>
      </c>
      <c r="O247" s="59" t="s">
        <v>4</v>
      </c>
      <c r="P247" s="59" t="s">
        <v>4</v>
      </c>
      <c r="Q247" s="96">
        <f t="shared" si="35"/>
        <v>1</v>
      </c>
      <c r="R247" s="59" t="s">
        <v>4</v>
      </c>
      <c r="S247" s="59" t="s">
        <v>4</v>
      </c>
      <c r="T247" s="59" t="s">
        <v>4</v>
      </c>
      <c r="U247" s="59" t="s">
        <v>4</v>
      </c>
      <c r="V247" s="45">
        <f t="shared" si="36"/>
        <v>1</v>
      </c>
      <c r="W247" s="59" t="s">
        <v>4</v>
      </c>
      <c r="X247" s="59" t="s">
        <v>4</v>
      </c>
      <c r="Y247" s="59" t="s">
        <v>4</v>
      </c>
      <c r="Z247" s="59" t="s">
        <v>4</v>
      </c>
      <c r="AA247" s="59" t="s">
        <v>4</v>
      </c>
      <c r="AB247" s="59" t="s">
        <v>4</v>
      </c>
      <c r="AC247" s="45">
        <f t="shared" si="37"/>
        <v>1.000000000000002</v>
      </c>
      <c r="AD247" s="43" t="s">
        <v>4</v>
      </c>
      <c r="AE247" s="43" t="s">
        <v>4</v>
      </c>
      <c r="AF247" s="97">
        <f t="shared" si="38"/>
        <v>1</v>
      </c>
      <c r="AG247" s="44">
        <f t="shared" si="39"/>
        <v>1.0000000000000004</v>
      </c>
      <c r="AH247" s="55">
        <f t="shared" si="40"/>
        <v>0</v>
      </c>
      <c r="AI247" s="55">
        <f>COUNTIF('Score BD'!$M247:$P247,"no")</f>
        <v>0</v>
      </c>
      <c r="AJ247" s="55">
        <f t="shared" si="41"/>
        <v>0</v>
      </c>
      <c r="AK247" s="55">
        <f t="shared" si="42"/>
        <v>0</v>
      </c>
      <c r="AL247" s="55">
        <f t="shared" si="43"/>
        <v>0</v>
      </c>
      <c r="AM247" s="104" t="s">
        <v>584</v>
      </c>
      <c r="AN247" s="55"/>
      <c r="AO247" s="61"/>
      <c r="AP247" s="61"/>
      <c r="AQ247" s="59" t="str">
        <f>IFERROR(_xlfn.XLOOKUP(Tabla1[[#This Row],[Cedula agente]],Lista!$B$2:$B$97,Lista!$G$2:$G$97)," ")</f>
        <v>Luisa Fernanda Benavides Castrillon</v>
      </c>
      <c r="AR247" s="59" t="s">
        <v>162</v>
      </c>
      <c r="AS247" s="55" t="str">
        <f>IFERROR(_xlfn.XLOOKUP(Tabla1[[#This Row],[Cedula agente]],Lista!$B$2:$B$97,Lista!$F$2:$F$97)," ")</f>
        <v>John Sebastian Roncancio Avendaño</v>
      </c>
      <c r="AT247" s="99">
        <v>0.95</v>
      </c>
      <c r="AU247" s="200">
        <f>+WEEKNUM('Score BD'!$H247)-WEEKNUM(DATE(YEAR('Score BD'!$H247),MONTH('Score BD'!$H247),1))+1</f>
        <v>4</v>
      </c>
    </row>
    <row r="248" spans="1:47" ht="17.45" customHeight="1" x14ac:dyDescent="0.3">
      <c r="A248" s="49" t="str">
        <f t="shared" si="33"/>
        <v>Ministerio de Educación Nacional</v>
      </c>
      <c r="B248" s="50">
        <f>+IFERROR(COUNTIF($J$3:J248,J248)," ")</f>
        <v>18</v>
      </c>
      <c r="C248" s="54" t="str">
        <f>+'Score BD'!$J248&amp;'Score BD'!$B248</f>
        <v>Natalia Cañón Betancourt18</v>
      </c>
      <c r="D248" s="91" t="s">
        <v>148</v>
      </c>
      <c r="E248" s="92" t="s">
        <v>164</v>
      </c>
      <c r="F248" s="92" t="s">
        <v>212</v>
      </c>
      <c r="G248" s="60" t="str">
        <f t="shared" si="34"/>
        <v>Noviembre</v>
      </c>
      <c r="H248" s="67">
        <v>45979</v>
      </c>
      <c r="I248" s="243">
        <v>45975</v>
      </c>
      <c r="J248" s="57" t="s">
        <v>181</v>
      </c>
      <c r="K248" s="54">
        <f>IFERROR(VLOOKUP('Score BD'!$J248,Lista!A:B,2,0)," ")</f>
        <v>1000383417</v>
      </c>
      <c r="L248" s="61" t="s">
        <v>496</v>
      </c>
      <c r="M248" s="59" t="s">
        <v>4</v>
      </c>
      <c r="N248" s="59" t="s">
        <v>4</v>
      </c>
      <c r="O248" s="59" t="s">
        <v>4</v>
      </c>
      <c r="P248" s="59" t="s">
        <v>4</v>
      </c>
      <c r="Q248" s="96">
        <f t="shared" si="35"/>
        <v>1</v>
      </c>
      <c r="R248" s="59" t="s">
        <v>4</v>
      </c>
      <c r="S248" s="59" t="s">
        <v>4</v>
      </c>
      <c r="T248" s="59" t="s">
        <v>4</v>
      </c>
      <c r="U248" s="59" t="s">
        <v>4</v>
      </c>
      <c r="V248" s="45">
        <f t="shared" si="36"/>
        <v>1</v>
      </c>
      <c r="W248" s="59" t="s">
        <v>4</v>
      </c>
      <c r="X248" s="59" t="s">
        <v>4</v>
      </c>
      <c r="Y248" s="59" t="s">
        <v>4</v>
      </c>
      <c r="Z248" s="59" t="s">
        <v>4</v>
      </c>
      <c r="AA248" s="59" t="s">
        <v>4</v>
      </c>
      <c r="AB248" s="59" t="s">
        <v>4</v>
      </c>
      <c r="AC248" s="45">
        <f t="shared" si="37"/>
        <v>1.000000000000002</v>
      </c>
      <c r="AD248" s="43" t="s">
        <v>4</v>
      </c>
      <c r="AE248" s="43" t="s">
        <v>4</v>
      </c>
      <c r="AF248" s="97">
        <f t="shared" si="38"/>
        <v>1</v>
      </c>
      <c r="AG248" s="44">
        <f t="shared" si="39"/>
        <v>1.0000000000000004</v>
      </c>
      <c r="AH248" s="55">
        <f t="shared" si="40"/>
        <v>0</v>
      </c>
      <c r="AI248" s="55">
        <f>COUNTIF('Score BD'!$M248:$P248,"no")</f>
        <v>0</v>
      </c>
      <c r="AJ248" s="55">
        <f t="shared" si="41"/>
        <v>0</v>
      </c>
      <c r="AK248" s="55">
        <f t="shared" si="42"/>
        <v>0</v>
      </c>
      <c r="AL248" s="55">
        <f t="shared" si="43"/>
        <v>0</v>
      </c>
      <c r="AM248" s="104" t="s">
        <v>584</v>
      </c>
      <c r="AN248" s="157"/>
      <c r="AO248" s="157"/>
      <c r="AP248" s="157"/>
      <c r="AQ248" s="59" t="str">
        <f>IFERROR(_xlfn.XLOOKUP(Tabla1[[#This Row],[Cedula agente]],Lista!$B$2:$B$97,Lista!$G$2:$G$97)," ")</f>
        <v>Luisa Fernanda Benavides Castrillon</v>
      </c>
      <c r="AR248" s="59" t="s">
        <v>162</v>
      </c>
      <c r="AS248" s="55" t="str">
        <f>IFERROR(_xlfn.XLOOKUP(Tabla1[[#This Row],[Cedula agente]],Lista!$B$2:$B$97,Lista!$F$2:$F$97)," ")</f>
        <v>John Sebastian Roncancio Avendaño</v>
      </c>
      <c r="AT248" s="99">
        <v>0.95</v>
      </c>
      <c r="AU248" s="200">
        <f>+WEEKNUM('Score BD'!$H248)-WEEKNUM(DATE(YEAR('Score BD'!$H248),MONTH('Score BD'!$H248),1))+1</f>
        <v>4</v>
      </c>
    </row>
    <row r="249" spans="1:47" ht="17.45" customHeight="1" x14ac:dyDescent="0.3">
      <c r="A249" s="49" t="str">
        <f t="shared" si="33"/>
        <v>Ministerio de Educación Nacional</v>
      </c>
      <c r="B249" s="50">
        <f>+IFERROR(COUNTIF($J$3:J249,J249)," ")</f>
        <v>9</v>
      </c>
      <c r="C249" s="54" t="str">
        <f>+'Score BD'!$J249&amp;'Score BD'!$B249</f>
        <v>Quira Alejandra Herrera Camelo9</v>
      </c>
      <c r="D249" s="91" t="s">
        <v>148</v>
      </c>
      <c r="E249" s="92" t="s">
        <v>208</v>
      </c>
      <c r="F249" s="92" t="s">
        <v>212</v>
      </c>
      <c r="G249" s="60" t="str">
        <f t="shared" si="34"/>
        <v>Noviembre</v>
      </c>
      <c r="H249" s="67">
        <v>45979</v>
      </c>
      <c r="I249" s="243">
        <v>45975</v>
      </c>
      <c r="J249" s="57" t="s">
        <v>182</v>
      </c>
      <c r="K249" s="54">
        <f>IFERROR(VLOOKUP('Score BD'!$J249,Lista!A:B,2,0)," ")</f>
        <v>1010214168</v>
      </c>
      <c r="L249" s="61" t="s">
        <v>497</v>
      </c>
      <c r="M249" s="59" t="s">
        <v>4</v>
      </c>
      <c r="N249" s="59" t="s">
        <v>4</v>
      </c>
      <c r="O249" s="59" t="s">
        <v>4</v>
      </c>
      <c r="P249" s="59" t="s">
        <v>4</v>
      </c>
      <c r="Q249" s="96">
        <f t="shared" si="35"/>
        <v>1</v>
      </c>
      <c r="R249" s="59" t="s">
        <v>4</v>
      </c>
      <c r="S249" s="59" t="s">
        <v>4</v>
      </c>
      <c r="T249" s="59" t="s">
        <v>4</v>
      </c>
      <c r="U249" s="59" t="s">
        <v>4</v>
      </c>
      <c r="V249" s="45">
        <f t="shared" si="36"/>
        <v>1</v>
      </c>
      <c r="W249" s="59" t="s">
        <v>4</v>
      </c>
      <c r="X249" s="59" t="s">
        <v>4</v>
      </c>
      <c r="Y249" s="59" t="s">
        <v>4</v>
      </c>
      <c r="Z249" s="59" t="s">
        <v>4</v>
      </c>
      <c r="AA249" s="59" t="s">
        <v>4</v>
      </c>
      <c r="AB249" s="59" t="s">
        <v>4</v>
      </c>
      <c r="AC249" s="45">
        <f t="shared" si="37"/>
        <v>1.000000000000002</v>
      </c>
      <c r="AD249" s="43" t="s">
        <v>4</v>
      </c>
      <c r="AE249" s="43" t="s">
        <v>4</v>
      </c>
      <c r="AF249" s="97">
        <f t="shared" si="38"/>
        <v>1</v>
      </c>
      <c r="AG249" s="44">
        <f t="shared" si="39"/>
        <v>1.0000000000000004</v>
      </c>
      <c r="AH249" s="55">
        <f t="shared" si="40"/>
        <v>0</v>
      </c>
      <c r="AI249" s="55">
        <f>COUNTIF('Score BD'!$M249:$P249,"no")</f>
        <v>0</v>
      </c>
      <c r="AJ249" s="55">
        <f t="shared" si="41"/>
        <v>0</v>
      </c>
      <c r="AK249" s="55">
        <f t="shared" si="42"/>
        <v>0</v>
      </c>
      <c r="AL249" s="55">
        <f t="shared" si="43"/>
        <v>0</v>
      </c>
      <c r="AM249" s="104" t="s">
        <v>584</v>
      </c>
      <c r="AN249" s="55"/>
      <c r="AO249" s="61"/>
      <c r="AP249" s="61"/>
      <c r="AQ249" s="59" t="str">
        <f>IFERROR(_xlfn.XLOOKUP(Tabla1[[#This Row],[Cedula agente]],Lista!$B$2:$B$97,Lista!$G$2:$G$97)," ")</f>
        <v>Luisa Fernanda Benavides Castrillon</v>
      </c>
      <c r="AR249" s="59" t="s">
        <v>162</v>
      </c>
      <c r="AS249" s="55" t="str">
        <f>IFERROR(_xlfn.XLOOKUP(Tabla1[[#This Row],[Cedula agente]],Lista!$B$2:$B$97,Lista!$F$2:$F$97)," ")</f>
        <v>John Sebastian Roncancio Avendaño</v>
      </c>
      <c r="AT249" s="99">
        <v>0.95</v>
      </c>
      <c r="AU249" s="200">
        <f>+WEEKNUM('Score BD'!$H249)-WEEKNUM(DATE(YEAR('Score BD'!$H249),MONTH('Score BD'!$H249),1))+1</f>
        <v>4</v>
      </c>
    </row>
    <row r="250" spans="1:47" ht="17.45" customHeight="1" x14ac:dyDescent="0.3">
      <c r="A250" s="49" t="str">
        <f t="shared" si="33"/>
        <v>Ministerio de Educación Nacional</v>
      </c>
      <c r="B250" s="50">
        <f>+IFERROR(COUNTIF($J$3:J250,J250)," ")</f>
        <v>10</v>
      </c>
      <c r="C250" s="54" t="str">
        <f>+'Score BD'!$J250&amp;'Score BD'!$B250</f>
        <v>Valentina Castillo Rondón10</v>
      </c>
      <c r="D250" s="91" t="s">
        <v>148</v>
      </c>
      <c r="E250" s="92" t="s">
        <v>165</v>
      </c>
      <c r="F250" s="92" t="s">
        <v>212</v>
      </c>
      <c r="G250" s="60" t="str">
        <f t="shared" si="34"/>
        <v>Noviembre</v>
      </c>
      <c r="H250" s="67">
        <v>45979</v>
      </c>
      <c r="I250" s="243">
        <v>45975</v>
      </c>
      <c r="J250" s="57" t="s">
        <v>183</v>
      </c>
      <c r="K250" s="54">
        <f>IFERROR(VLOOKUP('Score BD'!$J250,Lista!A:B,2,0)," ")</f>
        <v>1121950095</v>
      </c>
      <c r="L250" s="61" t="s">
        <v>498</v>
      </c>
      <c r="M250" s="59" t="s">
        <v>4</v>
      </c>
      <c r="N250" s="59" t="s">
        <v>4</v>
      </c>
      <c r="O250" s="59" t="s">
        <v>4</v>
      </c>
      <c r="P250" s="59" t="s">
        <v>4</v>
      </c>
      <c r="Q250" s="96">
        <f t="shared" si="35"/>
        <v>1</v>
      </c>
      <c r="R250" s="59" t="s">
        <v>4</v>
      </c>
      <c r="S250" s="59" t="s">
        <v>4</v>
      </c>
      <c r="T250" s="59" t="s">
        <v>4</v>
      </c>
      <c r="U250" s="59" t="s">
        <v>4</v>
      </c>
      <c r="V250" s="45">
        <f t="shared" si="36"/>
        <v>1</v>
      </c>
      <c r="W250" s="59" t="s">
        <v>4</v>
      </c>
      <c r="X250" s="59" t="s">
        <v>4</v>
      </c>
      <c r="Y250" s="59" t="s">
        <v>4</v>
      </c>
      <c r="Z250" s="59" t="s">
        <v>4</v>
      </c>
      <c r="AA250" s="59" t="s">
        <v>4</v>
      </c>
      <c r="AB250" s="59" t="s">
        <v>4</v>
      </c>
      <c r="AC250" s="45">
        <f t="shared" si="37"/>
        <v>1.000000000000002</v>
      </c>
      <c r="AD250" s="43" t="s">
        <v>4</v>
      </c>
      <c r="AE250" s="43" t="s">
        <v>4</v>
      </c>
      <c r="AF250" s="97">
        <f t="shared" si="38"/>
        <v>1</v>
      </c>
      <c r="AG250" s="44">
        <f t="shared" si="39"/>
        <v>1.0000000000000004</v>
      </c>
      <c r="AH250" s="55">
        <f t="shared" si="40"/>
        <v>0</v>
      </c>
      <c r="AI250" s="55">
        <f>COUNTIF('Score BD'!$M250:$P250,"no")</f>
        <v>0</v>
      </c>
      <c r="AJ250" s="55">
        <f t="shared" si="41"/>
        <v>0</v>
      </c>
      <c r="AK250" s="55">
        <f t="shared" si="42"/>
        <v>0</v>
      </c>
      <c r="AL250" s="55">
        <f t="shared" si="43"/>
        <v>0</v>
      </c>
      <c r="AM250" s="104" t="s">
        <v>584</v>
      </c>
      <c r="AN250" s="55"/>
      <c r="AO250" s="61"/>
      <c r="AP250" s="61"/>
      <c r="AQ250" s="59" t="str">
        <f>IFERROR(_xlfn.XLOOKUP(Tabla1[[#This Row],[Cedula agente]],Lista!$B$2:$B$97,Lista!$G$2:$G$97)," ")</f>
        <v>Luisa Fernanda Benavides Castrillon</v>
      </c>
      <c r="AR250" s="59" t="s">
        <v>162</v>
      </c>
      <c r="AS250" s="55" t="str">
        <f>IFERROR(_xlfn.XLOOKUP(Tabla1[[#This Row],[Cedula agente]],Lista!$B$2:$B$97,Lista!$F$2:$F$97)," ")</f>
        <v>John Sebastian Roncancio Avendaño</v>
      </c>
      <c r="AT250" s="99">
        <v>0.95</v>
      </c>
      <c r="AU250" s="200">
        <f>+WEEKNUM('Score BD'!$H250)-WEEKNUM(DATE(YEAR('Score BD'!$H250),MONTH('Score BD'!$H250),1))+1</f>
        <v>4</v>
      </c>
    </row>
    <row r="251" spans="1:47" ht="17.45" customHeight="1" x14ac:dyDescent="0.3">
      <c r="A251" s="49" t="str">
        <f t="shared" si="33"/>
        <v>Ministerio de Educación Nacional</v>
      </c>
      <c r="B251" s="50">
        <f>+IFERROR(COUNTIF($J$3:J251,J251)," ")</f>
        <v>11</v>
      </c>
      <c r="C251" s="54" t="str">
        <f>+'Score BD'!$J251&amp;'Score BD'!$B251</f>
        <v>Yenny Maribel Duran Ovejero11</v>
      </c>
      <c r="D251" s="91" t="s">
        <v>148</v>
      </c>
      <c r="E251" s="92" t="s">
        <v>165</v>
      </c>
      <c r="F251" s="92" t="s">
        <v>212</v>
      </c>
      <c r="G251" s="60" t="str">
        <f t="shared" si="34"/>
        <v>Noviembre</v>
      </c>
      <c r="H251" s="67">
        <v>45979</v>
      </c>
      <c r="I251" s="243">
        <v>45975</v>
      </c>
      <c r="J251" s="57" t="s">
        <v>206</v>
      </c>
      <c r="K251" s="54">
        <f>IFERROR(VLOOKUP('Score BD'!$J251,Lista!A:B,2,0)," ")</f>
        <v>52962387</v>
      </c>
      <c r="L251" s="61" t="s">
        <v>499</v>
      </c>
      <c r="M251" s="59" t="s">
        <v>4</v>
      </c>
      <c r="N251" s="59" t="s">
        <v>4</v>
      </c>
      <c r="O251" s="59" t="s">
        <v>4</v>
      </c>
      <c r="P251" s="59" t="s">
        <v>4</v>
      </c>
      <c r="Q251" s="96">
        <f t="shared" si="35"/>
        <v>1</v>
      </c>
      <c r="R251" s="59" t="s">
        <v>4</v>
      </c>
      <c r="S251" s="59" t="s">
        <v>4</v>
      </c>
      <c r="T251" s="59" t="s">
        <v>4</v>
      </c>
      <c r="U251" s="59" t="s">
        <v>4</v>
      </c>
      <c r="V251" s="45">
        <f t="shared" si="36"/>
        <v>1</v>
      </c>
      <c r="W251" s="59" t="s">
        <v>4</v>
      </c>
      <c r="X251" s="59" t="s">
        <v>4</v>
      </c>
      <c r="Y251" s="59" t="s">
        <v>4</v>
      </c>
      <c r="Z251" s="59" t="s">
        <v>4</v>
      </c>
      <c r="AA251" s="59" t="s">
        <v>4</v>
      </c>
      <c r="AB251" s="59" t="s">
        <v>4</v>
      </c>
      <c r="AC251" s="45">
        <f t="shared" si="37"/>
        <v>1.000000000000002</v>
      </c>
      <c r="AD251" s="43" t="s">
        <v>4</v>
      </c>
      <c r="AE251" s="43" t="s">
        <v>4</v>
      </c>
      <c r="AF251" s="97">
        <f t="shared" si="38"/>
        <v>1</v>
      </c>
      <c r="AG251" s="44">
        <f t="shared" si="39"/>
        <v>1.0000000000000004</v>
      </c>
      <c r="AH251" s="55">
        <f t="shared" si="40"/>
        <v>0</v>
      </c>
      <c r="AI251" s="55">
        <f>COUNTIF('Score BD'!$M251:$P251,"no")</f>
        <v>0</v>
      </c>
      <c r="AJ251" s="55">
        <f t="shared" si="41"/>
        <v>0</v>
      </c>
      <c r="AK251" s="55">
        <f t="shared" si="42"/>
        <v>0</v>
      </c>
      <c r="AL251" s="55">
        <f t="shared" si="43"/>
        <v>0</v>
      </c>
      <c r="AM251" s="104" t="s">
        <v>584</v>
      </c>
      <c r="AN251" s="55"/>
      <c r="AO251" s="61"/>
      <c r="AP251" s="61"/>
      <c r="AQ251" s="59" t="str">
        <f>IFERROR(_xlfn.XLOOKUP(Tabla1[[#This Row],[Cedula agente]],Lista!$B$2:$B$97,Lista!$G$2:$G$97)," ")</f>
        <v>Luisa Fernanda Benavides Castrillon</v>
      </c>
      <c r="AR251" s="59" t="s">
        <v>162</v>
      </c>
      <c r="AS251" s="55" t="str">
        <f>IFERROR(_xlfn.XLOOKUP(Tabla1[[#This Row],[Cedula agente]],Lista!$B$2:$B$97,Lista!$F$2:$F$97)," ")</f>
        <v>John Sebastian Roncancio Avendaño</v>
      </c>
      <c r="AT251" s="99">
        <v>0.95</v>
      </c>
      <c r="AU251" s="200">
        <f>+WEEKNUM('Score BD'!$H251)-WEEKNUM(DATE(YEAR('Score BD'!$H251),MONTH('Score BD'!$H251),1))+1</f>
        <v>4</v>
      </c>
    </row>
    <row r="252" spans="1:47" ht="17.45" customHeight="1" x14ac:dyDescent="0.3">
      <c r="A252" s="49" t="str">
        <f t="shared" si="33"/>
        <v>Ministerio de Educación Nacional</v>
      </c>
      <c r="B252" s="50">
        <f>+IFERROR(COUNTIF($J$3:J252,J252)," ")</f>
        <v>12</v>
      </c>
      <c r="C252" s="54" t="str">
        <f>+'Score BD'!$J252&amp;'Score BD'!$B252</f>
        <v>Yenny Maribel Duran Ovejero12</v>
      </c>
      <c r="D252" s="91" t="s">
        <v>148</v>
      </c>
      <c r="E252" s="92" t="s">
        <v>165</v>
      </c>
      <c r="F252" s="92" t="s">
        <v>212</v>
      </c>
      <c r="G252" s="60" t="str">
        <f t="shared" si="34"/>
        <v>Noviembre</v>
      </c>
      <c r="H252" s="67">
        <v>45979</v>
      </c>
      <c r="I252" s="243">
        <v>45975</v>
      </c>
      <c r="J252" s="57" t="s">
        <v>206</v>
      </c>
      <c r="K252" s="54">
        <f>IFERROR(VLOOKUP('Score BD'!$J252,Lista!A:B,2,0)," ")</f>
        <v>52962387</v>
      </c>
      <c r="L252" s="61" t="s">
        <v>500</v>
      </c>
      <c r="M252" s="59" t="s">
        <v>4</v>
      </c>
      <c r="N252" s="59" t="s">
        <v>4</v>
      </c>
      <c r="O252" s="59" t="s">
        <v>4</v>
      </c>
      <c r="P252" s="59" t="s">
        <v>4</v>
      </c>
      <c r="Q252" s="96">
        <f t="shared" si="35"/>
        <v>1</v>
      </c>
      <c r="R252" s="59" t="s">
        <v>4</v>
      </c>
      <c r="S252" s="59" t="s">
        <v>4</v>
      </c>
      <c r="T252" s="59" t="s">
        <v>4</v>
      </c>
      <c r="U252" s="59" t="s">
        <v>4</v>
      </c>
      <c r="V252" s="45">
        <f t="shared" si="36"/>
        <v>1</v>
      </c>
      <c r="W252" s="59" t="s">
        <v>4</v>
      </c>
      <c r="X252" s="59" t="s">
        <v>4</v>
      </c>
      <c r="Y252" s="59" t="s">
        <v>4</v>
      </c>
      <c r="Z252" s="59" t="s">
        <v>4</v>
      </c>
      <c r="AA252" s="59" t="s">
        <v>4</v>
      </c>
      <c r="AB252" s="59" t="s">
        <v>4</v>
      </c>
      <c r="AC252" s="45">
        <f t="shared" si="37"/>
        <v>1.000000000000002</v>
      </c>
      <c r="AD252" s="43" t="s">
        <v>4</v>
      </c>
      <c r="AE252" s="43" t="s">
        <v>4</v>
      </c>
      <c r="AF252" s="97">
        <f t="shared" si="38"/>
        <v>1</v>
      </c>
      <c r="AG252" s="44">
        <f t="shared" si="39"/>
        <v>1.0000000000000004</v>
      </c>
      <c r="AH252" s="55">
        <f t="shared" si="40"/>
        <v>0</v>
      </c>
      <c r="AI252" s="55">
        <f>COUNTIF('Score BD'!$M252:$P252,"no")</f>
        <v>0</v>
      </c>
      <c r="AJ252" s="55">
        <f t="shared" si="41"/>
        <v>0</v>
      </c>
      <c r="AK252" s="55">
        <f t="shared" si="42"/>
        <v>0</v>
      </c>
      <c r="AL252" s="55">
        <f t="shared" si="43"/>
        <v>0</v>
      </c>
      <c r="AM252" s="104" t="s">
        <v>584</v>
      </c>
      <c r="AN252" s="157"/>
      <c r="AO252" s="157"/>
      <c r="AP252" s="157"/>
      <c r="AQ252" s="59" t="str">
        <f>IFERROR(_xlfn.XLOOKUP(Tabla1[[#This Row],[Cedula agente]],Lista!$B$2:$B$97,Lista!$G$2:$G$97)," ")</f>
        <v>Luisa Fernanda Benavides Castrillon</v>
      </c>
      <c r="AR252" s="59" t="s">
        <v>162</v>
      </c>
      <c r="AS252" s="55" t="str">
        <f>IFERROR(_xlfn.XLOOKUP(Tabla1[[#This Row],[Cedula agente]],Lista!$B$2:$B$97,Lista!$F$2:$F$97)," ")</f>
        <v>John Sebastian Roncancio Avendaño</v>
      </c>
      <c r="AT252" s="99">
        <v>0.95</v>
      </c>
      <c r="AU252" s="200">
        <f>+WEEKNUM('Score BD'!$H252)-WEEKNUM(DATE(YEAR('Score BD'!$H252),MONTH('Score BD'!$H252),1))+1</f>
        <v>4</v>
      </c>
    </row>
    <row r="253" spans="1:47" ht="17.45" customHeight="1" x14ac:dyDescent="0.3">
      <c r="A253" s="49" t="str">
        <f t="shared" si="33"/>
        <v>Ministerio de Educación Nacional</v>
      </c>
      <c r="B253" s="50">
        <f>+IFERROR(COUNTIF($J$3:J253,J253)," ")</f>
        <v>27</v>
      </c>
      <c r="C253" s="54" t="str">
        <f>+'Score BD'!$J253&amp;'Score BD'!$B253</f>
        <v>Ana Graciela Barbosa Villalobos27</v>
      </c>
      <c r="D253" s="91" t="s">
        <v>148</v>
      </c>
      <c r="E253" s="92" t="s">
        <v>210</v>
      </c>
      <c r="F253" s="92" t="s">
        <v>212</v>
      </c>
      <c r="G253" s="60" t="str">
        <f t="shared" si="34"/>
        <v>Noviembre</v>
      </c>
      <c r="H253" s="67">
        <v>45980</v>
      </c>
      <c r="I253" s="243">
        <v>45979</v>
      </c>
      <c r="J253" s="57" t="s">
        <v>171</v>
      </c>
      <c r="K253" s="54">
        <f>IFERROR(VLOOKUP('Score BD'!$J253,Lista!A:B,2,0)," ")</f>
        <v>1026264261</v>
      </c>
      <c r="L253" s="61" t="s">
        <v>501</v>
      </c>
      <c r="M253" s="59" t="s">
        <v>4</v>
      </c>
      <c r="N253" s="59" t="s">
        <v>4</v>
      </c>
      <c r="O253" s="59" t="s">
        <v>4</v>
      </c>
      <c r="P253" s="59" t="s">
        <v>4</v>
      </c>
      <c r="Q253" s="96">
        <f t="shared" si="35"/>
        <v>1</v>
      </c>
      <c r="R253" s="59" t="s">
        <v>4</v>
      </c>
      <c r="S253" s="59" t="s">
        <v>4</v>
      </c>
      <c r="T253" s="59" t="s">
        <v>4</v>
      </c>
      <c r="U253" s="59" t="s">
        <v>4</v>
      </c>
      <c r="V253" s="45">
        <f t="shared" si="36"/>
        <v>1</v>
      </c>
      <c r="W253" s="59" t="s">
        <v>4</v>
      </c>
      <c r="X253" s="59" t="s">
        <v>4</v>
      </c>
      <c r="Y253" s="59" t="s">
        <v>4</v>
      </c>
      <c r="Z253" s="59" t="s">
        <v>4</v>
      </c>
      <c r="AA253" s="59" t="s">
        <v>4</v>
      </c>
      <c r="AB253" s="59" t="s">
        <v>4</v>
      </c>
      <c r="AC253" s="45">
        <f t="shared" si="37"/>
        <v>1.000000000000002</v>
      </c>
      <c r="AD253" s="43" t="s">
        <v>4</v>
      </c>
      <c r="AE253" s="43" t="s">
        <v>4</v>
      </c>
      <c r="AF253" s="97">
        <f t="shared" si="38"/>
        <v>1</v>
      </c>
      <c r="AG253" s="44">
        <f t="shared" si="39"/>
        <v>1.0000000000000004</v>
      </c>
      <c r="AH253" s="55">
        <f t="shared" si="40"/>
        <v>0</v>
      </c>
      <c r="AI253" s="55">
        <f>COUNTIF('Score BD'!$M253:$P253,"no")</f>
        <v>0</v>
      </c>
      <c r="AJ253" s="55">
        <f t="shared" si="41"/>
        <v>0</v>
      </c>
      <c r="AK253" s="55">
        <f t="shared" si="42"/>
        <v>0</v>
      </c>
      <c r="AL253" s="55">
        <f t="shared" si="43"/>
        <v>0</v>
      </c>
      <c r="AM253" s="104" t="s">
        <v>585</v>
      </c>
      <c r="AN253" s="55"/>
      <c r="AO253" s="61"/>
      <c r="AP253" s="61"/>
      <c r="AQ253" s="59" t="str">
        <f>IFERROR(_xlfn.XLOOKUP(Tabla1[[#This Row],[Cedula agente]],Lista!$B$2:$B$97,Lista!$G$2:$G$97)," ")</f>
        <v>Luisa Fernanda Benavides Castrillon</v>
      </c>
      <c r="AR253" s="59" t="s">
        <v>162</v>
      </c>
      <c r="AS253" s="55" t="str">
        <f>IFERROR(_xlfn.XLOOKUP(Tabla1[[#This Row],[Cedula agente]],Lista!$B$2:$B$97,Lista!$F$2:$F$97)," ")</f>
        <v>John Sebastian Roncancio Avendaño</v>
      </c>
      <c r="AT253" s="99">
        <v>0.95</v>
      </c>
      <c r="AU253" s="200">
        <f>+WEEKNUM('Score BD'!$H253)-WEEKNUM(DATE(YEAR('Score BD'!$H253),MONTH('Score BD'!$H253),1))+1</f>
        <v>4</v>
      </c>
    </row>
    <row r="254" spans="1:47" ht="17.45" customHeight="1" x14ac:dyDescent="0.3">
      <c r="A254" s="49" t="str">
        <f t="shared" si="33"/>
        <v>Ministerio de Educación Nacional</v>
      </c>
      <c r="B254" s="50">
        <f>+IFERROR(COUNTIF($J$3:J254,J254)," ")</f>
        <v>28</v>
      </c>
      <c r="C254" s="54" t="str">
        <f>+'Score BD'!$J254&amp;'Score BD'!$B254</f>
        <v>Ana Graciela Barbosa Villalobos28</v>
      </c>
      <c r="D254" s="91" t="s">
        <v>148</v>
      </c>
      <c r="E254" s="92" t="s">
        <v>210</v>
      </c>
      <c r="F254" s="92" t="s">
        <v>212</v>
      </c>
      <c r="G254" s="60" t="str">
        <f t="shared" si="34"/>
        <v>Noviembre</v>
      </c>
      <c r="H254" s="67">
        <v>45980</v>
      </c>
      <c r="I254" s="243">
        <v>45979</v>
      </c>
      <c r="J254" s="57" t="s">
        <v>171</v>
      </c>
      <c r="K254" s="54">
        <f>IFERROR(VLOOKUP('Score BD'!$J254,Lista!A:B,2,0)," ")</f>
        <v>1026264261</v>
      </c>
      <c r="L254" s="61" t="s">
        <v>502</v>
      </c>
      <c r="M254" s="59" t="s">
        <v>4</v>
      </c>
      <c r="N254" s="59" t="s">
        <v>4</v>
      </c>
      <c r="O254" s="59" t="s">
        <v>4</v>
      </c>
      <c r="P254" s="59" t="s">
        <v>4</v>
      </c>
      <c r="Q254" s="96">
        <f t="shared" si="35"/>
        <v>1</v>
      </c>
      <c r="R254" s="59" t="s">
        <v>4</v>
      </c>
      <c r="S254" s="59" t="s">
        <v>4</v>
      </c>
      <c r="T254" s="59" t="s">
        <v>4</v>
      </c>
      <c r="U254" s="59" t="s">
        <v>4</v>
      </c>
      <c r="V254" s="45">
        <f t="shared" si="36"/>
        <v>1</v>
      </c>
      <c r="W254" s="59" t="s">
        <v>4</v>
      </c>
      <c r="X254" s="59" t="s">
        <v>4</v>
      </c>
      <c r="Y254" s="59" t="s">
        <v>4</v>
      </c>
      <c r="Z254" s="59" t="s">
        <v>4</v>
      </c>
      <c r="AA254" s="59" t="s">
        <v>4</v>
      </c>
      <c r="AB254" s="59" t="s">
        <v>4</v>
      </c>
      <c r="AC254" s="45">
        <f t="shared" si="37"/>
        <v>1.000000000000002</v>
      </c>
      <c r="AD254" s="43" t="s">
        <v>4</v>
      </c>
      <c r="AE254" s="43" t="s">
        <v>4</v>
      </c>
      <c r="AF254" s="97">
        <f t="shared" si="38"/>
        <v>1</v>
      </c>
      <c r="AG254" s="44">
        <f t="shared" si="39"/>
        <v>1.0000000000000004</v>
      </c>
      <c r="AH254" s="55">
        <f t="shared" si="40"/>
        <v>0</v>
      </c>
      <c r="AI254" s="55">
        <f>COUNTIF('Score BD'!$M254:$P254,"no")</f>
        <v>0</v>
      </c>
      <c r="AJ254" s="55">
        <f t="shared" si="41"/>
        <v>0</v>
      </c>
      <c r="AK254" s="55">
        <f t="shared" si="42"/>
        <v>0</v>
      </c>
      <c r="AL254" s="55">
        <f t="shared" si="43"/>
        <v>0</v>
      </c>
      <c r="AM254" s="104" t="s">
        <v>585</v>
      </c>
      <c r="AN254" s="55"/>
      <c r="AO254" s="61"/>
      <c r="AP254" s="61"/>
      <c r="AQ254" s="59" t="str">
        <f>IFERROR(_xlfn.XLOOKUP(Tabla1[[#This Row],[Cedula agente]],Lista!$B$2:$B$97,Lista!$G$2:$G$97)," ")</f>
        <v>Luisa Fernanda Benavides Castrillon</v>
      </c>
      <c r="AR254" s="59" t="s">
        <v>162</v>
      </c>
      <c r="AS254" s="55" t="str">
        <f>IFERROR(_xlfn.XLOOKUP(Tabla1[[#This Row],[Cedula agente]],Lista!$B$2:$B$97,Lista!$F$2:$F$97)," ")</f>
        <v>John Sebastian Roncancio Avendaño</v>
      </c>
      <c r="AT254" s="99">
        <v>0.95</v>
      </c>
      <c r="AU254" s="200">
        <f>+WEEKNUM('Score BD'!$H254)-WEEKNUM(DATE(YEAR('Score BD'!$H254),MONTH('Score BD'!$H254),1))+1</f>
        <v>4</v>
      </c>
    </row>
    <row r="255" spans="1:47" ht="17.45" customHeight="1" x14ac:dyDescent="0.3">
      <c r="A255" s="49" t="str">
        <f t="shared" si="33"/>
        <v>Ministerio de Educación Nacional</v>
      </c>
      <c r="B255" s="50">
        <f>+IFERROR(COUNTIF($J$3:J255,J255)," ")</f>
        <v>29</v>
      </c>
      <c r="C255" s="54" t="str">
        <f>+'Score BD'!$J255&amp;'Score BD'!$B255</f>
        <v>Ana Graciela Barbosa Villalobos29</v>
      </c>
      <c r="D255" s="91" t="s">
        <v>148</v>
      </c>
      <c r="E255" s="92" t="s">
        <v>210</v>
      </c>
      <c r="F255" s="92" t="s">
        <v>212</v>
      </c>
      <c r="G255" s="60" t="str">
        <f t="shared" si="34"/>
        <v>Noviembre</v>
      </c>
      <c r="H255" s="67">
        <v>45980</v>
      </c>
      <c r="I255" s="243">
        <v>45979</v>
      </c>
      <c r="J255" s="57" t="s">
        <v>171</v>
      </c>
      <c r="K255" s="54">
        <f>IFERROR(VLOOKUP('Score BD'!$J255,Lista!A:B,2,0)," ")</f>
        <v>1026264261</v>
      </c>
      <c r="L255" s="61" t="s">
        <v>503</v>
      </c>
      <c r="M255" s="59" t="s">
        <v>4</v>
      </c>
      <c r="N255" s="59" t="s">
        <v>4</v>
      </c>
      <c r="O255" s="59" t="s">
        <v>4</v>
      </c>
      <c r="P255" s="59" t="s">
        <v>4</v>
      </c>
      <c r="Q255" s="96">
        <f t="shared" si="35"/>
        <v>1</v>
      </c>
      <c r="R255" s="59" t="s">
        <v>4</v>
      </c>
      <c r="S255" s="59" t="s">
        <v>4</v>
      </c>
      <c r="T255" s="59" t="s">
        <v>4</v>
      </c>
      <c r="U255" s="59" t="s">
        <v>4</v>
      </c>
      <c r="V255" s="45">
        <f t="shared" si="36"/>
        <v>1</v>
      </c>
      <c r="W255" s="59" t="s">
        <v>4</v>
      </c>
      <c r="X255" s="59" t="s">
        <v>4</v>
      </c>
      <c r="Y255" s="59" t="s">
        <v>4</v>
      </c>
      <c r="Z255" s="59" t="s">
        <v>4</v>
      </c>
      <c r="AA255" s="59" t="s">
        <v>4</v>
      </c>
      <c r="AB255" s="59" t="s">
        <v>4</v>
      </c>
      <c r="AC255" s="45">
        <f t="shared" si="37"/>
        <v>1.000000000000002</v>
      </c>
      <c r="AD255" s="43" t="s">
        <v>4</v>
      </c>
      <c r="AE255" s="43" t="s">
        <v>4</v>
      </c>
      <c r="AF255" s="97">
        <f t="shared" si="38"/>
        <v>1</v>
      </c>
      <c r="AG255" s="44">
        <f t="shared" si="39"/>
        <v>1.0000000000000004</v>
      </c>
      <c r="AH255" s="55">
        <f t="shared" si="40"/>
        <v>0</v>
      </c>
      <c r="AI255" s="55">
        <f>COUNTIF('Score BD'!$M255:$P255,"no")</f>
        <v>0</v>
      </c>
      <c r="AJ255" s="55">
        <f t="shared" si="41"/>
        <v>0</v>
      </c>
      <c r="AK255" s="55">
        <f t="shared" si="42"/>
        <v>0</v>
      </c>
      <c r="AL255" s="55">
        <f t="shared" si="43"/>
        <v>0</v>
      </c>
      <c r="AM255" s="104" t="s">
        <v>585</v>
      </c>
      <c r="AN255" s="55"/>
      <c r="AO255" s="61"/>
      <c r="AP255" s="61"/>
      <c r="AQ255" s="59" t="str">
        <f>IFERROR(_xlfn.XLOOKUP(Tabla1[[#This Row],[Cedula agente]],Lista!$B$2:$B$97,Lista!$G$2:$G$97)," ")</f>
        <v>Luisa Fernanda Benavides Castrillon</v>
      </c>
      <c r="AR255" s="59" t="s">
        <v>162</v>
      </c>
      <c r="AS255" s="55" t="str">
        <f>IFERROR(_xlfn.XLOOKUP(Tabla1[[#This Row],[Cedula agente]],Lista!$B$2:$B$97,Lista!$F$2:$F$97)," ")</f>
        <v>John Sebastian Roncancio Avendaño</v>
      </c>
      <c r="AT255" s="99">
        <v>0.95</v>
      </c>
      <c r="AU255" s="200">
        <f>+WEEKNUM('Score BD'!$H255)-WEEKNUM(DATE(YEAR('Score BD'!$H255),MONTH('Score BD'!$H255),1))+1</f>
        <v>4</v>
      </c>
    </row>
    <row r="256" spans="1:47" ht="17.45" customHeight="1" x14ac:dyDescent="0.3">
      <c r="A256" s="49" t="str">
        <f t="shared" si="33"/>
        <v>Ministerio de Educación Nacional</v>
      </c>
      <c r="B256" s="50">
        <f>+IFERROR(COUNTIF($J$3:J256,J256)," ")</f>
        <v>7</v>
      </c>
      <c r="C256" s="54" t="str">
        <f>+'Score BD'!$J256&amp;'Score BD'!$B256</f>
        <v>Andrés Felipe Silva Martínez7</v>
      </c>
      <c r="D256" s="91" t="s">
        <v>148</v>
      </c>
      <c r="E256" s="92" t="s">
        <v>208</v>
      </c>
      <c r="F256" s="92" t="s">
        <v>212</v>
      </c>
      <c r="G256" s="60" t="str">
        <f t="shared" si="34"/>
        <v>Noviembre</v>
      </c>
      <c r="H256" s="67">
        <v>45980</v>
      </c>
      <c r="I256" s="243">
        <v>45979</v>
      </c>
      <c r="J256" s="57" t="s">
        <v>228</v>
      </c>
      <c r="K256" s="54">
        <f>IFERROR(VLOOKUP('Score BD'!$J256,Lista!A:B,2,0)," ")</f>
        <v>1120362660</v>
      </c>
      <c r="L256" s="61" t="s">
        <v>364</v>
      </c>
      <c r="M256" s="59" t="s">
        <v>4</v>
      </c>
      <c r="N256" s="59" t="s">
        <v>4</v>
      </c>
      <c r="O256" s="59" t="s">
        <v>4</v>
      </c>
      <c r="P256" s="59" t="s">
        <v>4</v>
      </c>
      <c r="Q256" s="96">
        <f t="shared" si="35"/>
        <v>1</v>
      </c>
      <c r="R256" s="59" t="s">
        <v>4</v>
      </c>
      <c r="S256" s="59" t="s">
        <v>4</v>
      </c>
      <c r="T256" s="59" t="s">
        <v>4</v>
      </c>
      <c r="U256" s="59" t="s">
        <v>4</v>
      </c>
      <c r="V256" s="45">
        <f t="shared" si="36"/>
        <v>1</v>
      </c>
      <c r="W256" s="59" t="s">
        <v>4</v>
      </c>
      <c r="X256" s="59" t="s">
        <v>4</v>
      </c>
      <c r="Y256" s="59" t="s">
        <v>4</v>
      </c>
      <c r="Z256" s="59" t="s">
        <v>4</v>
      </c>
      <c r="AA256" s="59" t="s">
        <v>4</v>
      </c>
      <c r="AB256" s="59" t="s">
        <v>4</v>
      </c>
      <c r="AC256" s="45">
        <f t="shared" si="37"/>
        <v>1.000000000000002</v>
      </c>
      <c r="AD256" s="43" t="s">
        <v>4</v>
      </c>
      <c r="AE256" s="43" t="s">
        <v>4</v>
      </c>
      <c r="AF256" s="97">
        <f t="shared" si="38"/>
        <v>1</v>
      </c>
      <c r="AG256" s="44">
        <f t="shared" si="39"/>
        <v>1.0000000000000004</v>
      </c>
      <c r="AH256" s="55">
        <f t="shared" si="40"/>
        <v>0</v>
      </c>
      <c r="AI256" s="55">
        <f>COUNTIF('Score BD'!$M256:$P256,"no")</f>
        <v>0</v>
      </c>
      <c r="AJ256" s="55">
        <f t="shared" si="41"/>
        <v>0</v>
      </c>
      <c r="AK256" s="55">
        <f t="shared" si="42"/>
        <v>0</v>
      </c>
      <c r="AL256" s="55">
        <f t="shared" si="43"/>
        <v>0</v>
      </c>
      <c r="AM256" s="104" t="s">
        <v>585</v>
      </c>
      <c r="AN256" s="55"/>
      <c r="AO256" s="61"/>
      <c r="AP256" s="61"/>
      <c r="AQ256" s="59" t="str">
        <f>IFERROR(_xlfn.XLOOKUP(Tabla1[[#This Row],[Cedula agente]],Lista!$B$2:$B$97,Lista!$G$2:$G$97)," ")</f>
        <v>Luisa Fernanda Benavides Castrillon</v>
      </c>
      <c r="AR256" s="59" t="s">
        <v>162</v>
      </c>
      <c r="AS256" s="55" t="str">
        <f>IFERROR(_xlfn.XLOOKUP(Tabla1[[#This Row],[Cedula agente]],Lista!$B$2:$B$97,Lista!$F$2:$F$97)," ")</f>
        <v>John Sebastian Roncancio Avendaño</v>
      </c>
      <c r="AT256" s="99">
        <v>0.95</v>
      </c>
      <c r="AU256" s="200">
        <f>+WEEKNUM('Score BD'!$H256)-WEEKNUM(DATE(YEAR('Score BD'!$H256),MONTH('Score BD'!$H256),1))+1</f>
        <v>4</v>
      </c>
    </row>
    <row r="257" spans="1:47" ht="17.45" customHeight="1" x14ac:dyDescent="0.3">
      <c r="A257" s="49" t="str">
        <f t="shared" si="33"/>
        <v>Ministerio de Educación Nacional</v>
      </c>
      <c r="B257" s="50">
        <f>+IFERROR(COUNTIF($J$3:J257,J257)," ")</f>
        <v>11</v>
      </c>
      <c r="C257" s="54" t="str">
        <f>+'Score BD'!$J257&amp;'Score BD'!$B257</f>
        <v>Cesar Rodrigo García11</v>
      </c>
      <c r="D257" s="91" t="s">
        <v>148</v>
      </c>
      <c r="E257" s="92" t="s">
        <v>165</v>
      </c>
      <c r="F257" s="92" t="s">
        <v>212</v>
      </c>
      <c r="G257" s="60" t="str">
        <f t="shared" si="34"/>
        <v>Noviembre</v>
      </c>
      <c r="H257" s="67">
        <v>45980</v>
      </c>
      <c r="I257" s="243">
        <v>45979</v>
      </c>
      <c r="J257" s="57" t="s">
        <v>172</v>
      </c>
      <c r="K257" s="54">
        <f>IFERROR(VLOOKUP('Score BD'!$J257,Lista!A:B,2,0)," ")</f>
        <v>1069257937</v>
      </c>
      <c r="L257" s="61" t="s">
        <v>504</v>
      </c>
      <c r="M257" s="59" t="s">
        <v>4</v>
      </c>
      <c r="N257" s="59" t="s">
        <v>4</v>
      </c>
      <c r="O257" s="59" t="s">
        <v>4</v>
      </c>
      <c r="P257" s="59" t="s">
        <v>4</v>
      </c>
      <c r="Q257" s="96">
        <f t="shared" si="35"/>
        <v>1</v>
      </c>
      <c r="R257" s="59" t="s">
        <v>4</v>
      </c>
      <c r="S257" s="59" t="s">
        <v>4</v>
      </c>
      <c r="T257" s="59" t="s">
        <v>4</v>
      </c>
      <c r="U257" s="59" t="s">
        <v>4</v>
      </c>
      <c r="V257" s="45">
        <f t="shared" si="36"/>
        <v>1</v>
      </c>
      <c r="W257" s="59" t="s">
        <v>4</v>
      </c>
      <c r="X257" s="59" t="s">
        <v>4</v>
      </c>
      <c r="Y257" s="59" t="s">
        <v>4</v>
      </c>
      <c r="Z257" s="59" t="s">
        <v>4</v>
      </c>
      <c r="AA257" s="59" t="s">
        <v>4</v>
      </c>
      <c r="AB257" s="59" t="s">
        <v>4</v>
      </c>
      <c r="AC257" s="45">
        <f t="shared" si="37"/>
        <v>1.000000000000002</v>
      </c>
      <c r="AD257" s="43" t="s">
        <v>4</v>
      </c>
      <c r="AE257" s="43" t="s">
        <v>4</v>
      </c>
      <c r="AF257" s="97">
        <f t="shared" si="38"/>
        <v>1</v>
      </c>
      <c r="AG257" s="44">
        <f t="shared" si="39"/>
        <v>1.0000000000000004</v>
      </c>
      <c r="AH257" s="55">
        <f t="shared" si="40"/>
        <v>0</v>
      </c>
      <c r="AI257" s="55">
        <f>COUNTIF('Score BD'!$M257:$P257,"no")</f>
        <v>0</v>
      </c>
      <c r="AJ257" s="55">
        <f t="shared" si="41"/>
        <v>0</v>
      </c>
      <c r="AK257" s="55">
        <f t="shared" si="42"/>
        <v>0</v>
      </c>
      <c r="AL257" s="55">
        <f t="shared" si="43"/>
        <v>0</v>
      </c>
      <c r="AM257" s="104" t="s">
        <v>585</v>
      </c>
      <c r="AN257" s="55"/>
      <c r="AO257" s="61"/>
      <c r="AP257" s="61"/>
      <c r="AQ257" s="59" t="str">
        <f>IFERROR(_xlfn.XLOOKUP(Tabla1[[#This Row],[Cedula agente]],Lista!$B$2:$B$97,Lista!$G$2:$G$97)," ")</f>
        <v>Luisa Fernanda Benavides Castrillon</v>
      </c>
      <c r="AR257" s="59" t="s">
        <v>162</v>
      </c>
      <c r="AS257" s="55" t="str">
        <f>IFERROR(_xlfn.XLOOKUP(Tabla1[[#This Row],[Cedula agente]],Lista!$B$2:$B$97,Lista!$F$2:$F$97)," ")</f>
        <v>John Sebastian Roncancio Avendaño</v>
      </c>
      <c r="AT257" s="99">
        <v>0.95</v>
      </c>
      <c r="AU257" s="200">
        <f>+WEEKNUM('Score BD'!$H257)-WEEKNUM(DATE(YEAR('Score BD'!$H257),MONTH('Score BD'!$H257),1))+1</f>
        <v>4</v>
      </c>
    </row>
    <row r="258" spans="1:47" ht="17.45" customHeight="1" x14ac:dyDescent="0.3">
      <c r="A258" s="49" t="str">
        <f t="shared" si="33"/>
        <v>Ministerio de Educación Nacional</v>
      </c>
      <c r="B258" s="50">
        <f>+IFERROR(COUNTIF($J$3:J258,J258)," ")</f>
        <v>10</v>
      </c>
      <c r="C258" s="54" t="str">
        <f>+'Score BD'!$J258&amp;'Score BD'!$B258</f>
        <v>Cristian Enrique Benitez Rodriguez10</v>
      </c>
      <c r="D258" s="91" t="s">
        <v>148</v>
      </c>
      <c r="E258" s="92" t="s">
        <v>165</v>
      </c>
      <c r="F258" s="92" t="s">
        <v>212</v>
      </c>
      <c r="G258" s="60" t="str">
        <f t="shared" si="34"/>
        <v>Noviembre</v>
      </c>
      <c r="H258" s="67">
        <v>45980</v>
      </c>
      <c r="I258" s="243">
        <v>45979</v>
      </c>
      <c r="J258" s="57" t="s">
        <v>173</v>
      </c>
      <c r="K258" s="54">
        <f>IFERROR(VLOOKUP('Score BD'!$J258,Lista!A:B,2,0)," ")</f>
        <v>1026574814</v>
      </c>
      <c r="L258" s="61" t="s">
        <v>505</v>
      </c>
      <c r="M258" s="59" t="s">
        <v>4</v>
      </c>
      <c r="N258" s="59" t="s">
        <v>4</v>
      </c>
      <c r="O258" s="59" t="s">
        <v>4</v>
      </c>
      <c r="P258" s="59" t="s">
        <v>4</v>
      </c>
      <c r="Q258" s="96">
        <f t="shared" si="35"/>
        <v>1</v>
      </c>
      <c r="R258" s="59" t="s">
        <v>4</v>
      </c>
      <c r="S258" s="59" t="s">
        <v>4</v>
      </c>
      <c r="T258" s="59" t="s">
        <v>4</v>
      </c>
      <c r="U258" s="59" t="s">
        <v>4</v>
      </c>
      <c r="V258" s="45">
        <f t="shared" si="36"/>
        <v>1</v>
      </c>
      <c r="W258" s="59" t="s">
        <v>4</v>
      </c>
      <c r="X258" s="59" t="s">
        <v>4</v>
      </c>
      <c r="Y258" s="59" t="s">
        <v>4</v>
      </c>
      <c r="Z258" s="59" t="s">
        <v>4</v>
      </c>
      <c r="AA258" s="59" t="s">
        <v>4</v>
      </c>
      <c r="AB258" s="59" t="s">
        <v>4</v>
      </c>
      <c r="AC258" s="45">
        <f t="shared" si="37"/>
        <v>1.000000000000002</v>
      </c>
      <c r="AD258" s="43" t="s">
        <v>4</v>
      </c>
      <c r="AE258" s="43" t="s">
        <v>4</v>
      </c>
      <c r="AF258" s="97">
        <f t="shared" si="38"/>
        <v>1</v>
      </c>
      <c r="AG258" s="44">
        <f t="shared" si="39"/>
        <v>1.0000000000000004</v>
      </c>
      <c r="AH258" s="55">
        <f t="shared" si="40"/>
        <v>0</v>
      </c>
      <c r="AI258" s="55">
        <f>COUNTIF('Score BD'!$M258:$P258,"no")</f>
        <v>0</v>
      </c>
      <c r="AJ258" s="55">
        <f t="shared" si="41"/>
        <v>0</v>
      </c>
      <c r="AK258" s="55">
        <f t="shared" si="42"/>
        <v>0</v>
      </c>
      <c r="AL258" s="55">
        <f t="shared" si="43"/>
        <v>0</v>
      </c>
      <c r="AM258" s="104" t="s">
        <v>585</v>
      </c>
      <c r="AN258" s="55"/>
      <c r="AO258" s="61"/>
      <c r="AP258" s="61"/>
      <c r="AQ258" s="59" t="str">
        <f>IFERROR(_xlfn.XLOOKUP(Tabla1[[#This Row],[Cedula agente]],Lista!$B$2:$B$97,Lista!$G$2:$G$97)," ")</f>
        <v>Luisa Fernanda Benavides Castrillon</v>
      </c>
      <c r="AR258" s="59" t="s">
        <v>162</v>
      </c>
      <c r="AS258" s="55" t="str">
        <f>IFERROR(_xlfn.XLOOKUP(Tabla1[[#This Row],[Cedula agente]],Lista!$B$2:$B$97,Lista!$F$2:$F$97)," ")</f>
        <v>John Sebastian Roncancio Avendaño</v>
      </c>
      <c r="AT258" s="99">
        <v>0.95</v>
      </c>
      <c r="AU258" s="200">
        <f>+WEEKNUM('Score BD'!$H258)-WEEKNUM(DATE(YEAR('Score BD'!$H258),MONTH('Score BD'!$H258),1))+1</f>
        <v>4</v>
      </c>
    </row>
    <row r="259" spans="1:47" ht="17.45" customHeight="1" x14ac:dyDescent="0.3">
      <c r="A259" s="49" t="str">
        <f t="shared" si="33"/>
        <v>Ministerio de Educación Nacional</v>
      </c>
      <c r="B259" s="50">
        <f>+IFERROR(COUNTIF($J$3:J259,J259)," ")</f>
        <v>6</v>
      </c>
      <c r="C259" s="54" t="str">
        <f>+'Score BD'!$J259&amp;'Score BD'!$B259</f>
        <v>Daniela Murillo Solano6</v>
      </c>
      <c r="D259" s="91" t="s">
        <v>148</v>
      </c>
      <c r="E259" s="92" t="s">
        <v>211</v>
      </c>
      <c r="F259" s="92" t="s">
        <v>212</v>
      </c>
      <c r="G259" s="60" t="str">
        <f t="shared" si="34"/>
        <v>Noviembre</v>
      </c>
      <c r="H259" s="67">
        <v>45980</v>
      </c>
      <c r="I259" s="243">
        <v>45979</v>
      </c>
      <c r="J259" s="57" t="s">
        <v>203</v>
      </c>
      <c r="K259" s="54">
        <f>IFERROR(VLOOKUP('Score BD'!$J259,Lista!A:B,2,0)," ")</f>
        <v>1234194276</v>
      </c>
      <c r="L259" s="61" t="s">
        <v>506</v>
      </c>
      <c r="M259" s="59" t="s">
        <v>4</v>
      </c>
      <c r="N259" s="59" t="s">
        <v>4</v>
      </c>
      <c r="O259" s="59" t="s">
        <v>4</v>
      </c>
      <c r="P259" s="59" t="s">
        <v>4</v>
      </c>
      <c r="Q259" s="96">
        <f t="shared" si="35"/>
        <v>1</v>
      </c>
      <c r="R259" s="59" t="s">
        <v>4</v>
      </c>
      <c r="S259" s="59" t="s">
        <v>4</v>
      </c>
      <c r="T259" s="59" t="s">
        <v>4</v>
      </c>
      <c r="U259" s="59" t="s">
        <v>4</v>
      </c>
      <c r="V259" s="45">
        <f t="shared" si="36"/>
        <v>1</v>
      </c>
      <c r="W259" s="59" t="s">
        <v>4</v>
      </c>
      <c r="X259" s="59" t="s">
        <v>4</v>
      </c>
      <c r="Y259" s="59" t="s">
        <v>4</v>
      </c>
      <c r="Z259" s="59" t="s">
        <v>4</v>
      </c>
      <c r="AA259" s="59" t="s">
        <v>4</v>
      </c>
      <c r="AB259" s="59" t="s">
        <v>4</v>
      </c>
      <c r="AC259" s="45">
        <f t="shared" si="37"/>
        <v>1.000000000000002</v>
      </c>
      <c r="AD259" s="43" t="s">
        <v>4</v>
      </c>
      <c r="AE259" s="43" t="s">
        <v>4</v>
      </c>
      <c r="AF259" s="97">
        <f t="shared" si="38"/>
        <v>1</v>
      </c>
      <c r="AG259" s="44">
        <f t="shared" si="39"/>
        <v>1.0000000000000004</v>
      </c>
      <c r="AH259" s="55">
        <f t="shared" si="40"/>
        <v>0</v>
      </c>
      <c r="AI259" s="55">
        <f>COUNTIF('Score BD'!$M259:$P259,"no")</f>
        <v>0</v>
      </c>
      <c r="AJ259" s="55">
        <f t="shared" si="41"/>
        <v>0</v>
      </c>
      <c r="AK259" s="55">
        <f t="shared" si="42"/>
        <v>0</v>
      </c>
      <c r="AL259" s="55">
        <f t="shared" si="43"/>
        <v>0</v>
      </c>
      <c r="AM259" s="104" t="s">
        <v>585</v>
      </c>
      <c r="AN259" s="55"/>
      <c r="AO259" s="61"/>
      <c r="AP259" s="61"/>
      <c r="AQ259" s="59" t="str">
        <f>IFERROR(_xlfn.XLOOKUP(Tabla1[[#This Row],[Cedula agente]],Lista!$B$2:$B$97,Lista!$G$2:$G$97)," ")</f>
        <v>Luisa Fernanda Benavides Castrillon</v>
      </c>
      <c r="AR259" s="59" t="s">
        <v>162</v>
      </c>
      <c r="AS259" s="55" t="str">
        <f>IFERROR(_xlfn.XLOOKUP(Tabla1[[#This Row],[Cedula agente]],Lista!$B$2:$B$97,Lista!$F$2:$F$97)," ")</f>
        <v>John Sebastian Roncancio Avendaño</v>
      </c>
      <c r="AT259" s="99">
        <v>0.95</v>
      </c>
      <c r="AU259" s="200">
        <f>+WEEKNUM('Score BD'!$H259)-WEEKNUM(DATE(YEAR('Score BD'!$H259),MONTH('Score BD'!$H259),1))+1</f>
        <v>4</v>
      </c>
    </row>
    <row r="260" spans="1:47" ht="17.45" customHeight="1" x14ac:dyDescent="0.3">
      <c r="A260" s="49" t="str">
        <f t="shared" ref="A260:A323" si="44">+IF(B260&gt;0,"Ministerio de Educación Nacional"," ")</f>
        <v>Ministerio de Educación Nacional</v>
      </c>
      <c r="B260" s="50">
        <f>+IFERROR(COUNTIF($J$3:J260,J260)," ")</f>
        <v>28</v>
      </c>
      <c r="C260" s="54" t="str">
        <f>+'Score BD'!$J260&amp;'Score BD'!$B260</f>
        <v>Erika Natalia Ramírez Herrera28</v>
      </c>
      <c r="D260" s="91" t="s">
        <v>148</v>
      </c>
      <c r="E260" s="92" t="s">
        <v>164</v>
      </c>
      <c r="F260" s="92" t="s">
        <v>212</v>
      </c>
      <c r="G260" s="60" t="str">
        <f t="shared" ref="G260:G323" si="45">+PROPER(TEXT(H260,"mmmm"))</f>
        <v>Noviembre</v>
      </c>
      <c r="H260" s="67">
        <v>45980</v>
      </c>
      <c r="I260" s="243">
        <v>45979</v>
      </c>
      <c r="J260" s="57" t="s">
        <v>174</v>
      </c>
      <c r="K260" s="54">
        <f>IFERROR(VLOOKUP('Score BD'!$J260,Lista!A:B,2,0)," ")</f>
        <v>1032367072</v>
      </c>
      <c r="L260" s="61" t="s">
        <v>507</v>
      </c>
      <c r="M260" s="59" t="s">
        <v>4</v>
      </c>
      <c r="N260" s="59" t="s">
        <v>4</v>
      </c>
      <c r="O260" s="59" t="s">
        <v>4</v>
      </c>
      <c r="P260" s="59" t="s">
        <v>4</v>
      </c>
      <c r="Q260" s="96">
        <f t="shared" ref="Q260:Q323" si="46">+IF(M260="NO",0,25%)+IF(N260="NO",0,25%)+IF(O260="NO",0,25%)+IF(P260="NO",0,25%)</f>
        <v>1</v>
      </c>
      <c r="R260" s="59" t="s">
        <v>4</v>
      </c>
      <c r="S260" s="59" t="s">
        <v>4</v>
      </c>
      <c r="T260" s="59" t="s">
        <v>4</v>
      </c>
      <c r="U260" s="59" t="s">
        <v>4</v>
      </c>
      <c r="V260" s="45">
        <f t="shared" ref="V260:V323" si="47">+IF(R260="NO",0,25%)+IF(S260="NO",0,25%)+IF(T260="NO",0,25%)+IF(U260="NO",0,25%)</f>
        <v>1</v>
      </c>
      <c r="W260" s="59" t="s">
        <v>4</v>
      </c>
      <c r="X260" s="59" t="s">
        <v>4</v>
      </c>
      <c r="Y260" s="59" t="s">
        <v>4</v>
      </c>
      <c r="Z260" s="59" t="s">
        <v>4</v>
      </c>
      <c r="AA260" s="59" t="s">
        <v>4</v>
      </c>
      <c r="AB260" s="59" t="s">
        <v>4</v>
      </c>
      <c r="AC260" s="45">
        <f t="shared" ref="AC260:AC323" si="48">+IF(W260="NO",0%,16.6666666666667%)+IF(X260="NO",0%,16.6666666666667%)+IF(Y260="NO",0%,16.6666666666667%)+IF(Z260="NO",0%,16.6666666666667%)+IF(AA260="NO",0%,16.6666666666667%)+IF(AB260="NO",0%,16.6666666666667%)</f>
        <v>1.000000000000002</v>
      </c>
      <c r="AD260" s="43" t="s">
        <v>4</v>
      </c>
      <c r="AE260" s="43" t="s">
        <v>4</v>
      </c>
      <c r="AF260" s="97">
        <f t="shared" ref="AF260:AF323" si="49">+IF(AD260="NO",0%,50%)+IF(AE260="NO",0%,50%)</f>
        <v>1</v>
      </c>
      <c r="AG260" s="44">
        <f t="shared" ref="AG260:AG323" si="50">AVERAGE(AF260,AC260,V260,Q260)</f>
        <v>1.0000000000000004</v>
      </c>
      <c r="AH260" s="55">
        <f t="shared" ref="AH260:AH323" si="51">+COUNTIF(W260:AB260,"no")+COUNTIF(R260:U260,"no")+COUNTIF(AD260:AE260,"no")</f>
        <v>0</v>
      </c>
      <c r="AI260" s="55">
        <f>COUNTIF('Score BD'!$M260:$P260,"no")</f>
        <v>0</v>
      </c>
      <c r="AJ260" s="55">
        <f t="shared" ref="AJ260:AJ323" si="52">+IF(COUNTA(R260:U260)=0,"-",COUNTIF(R260:U260,"NO"))</f>
        <v>0</v>
      </c>
      <c r="AK260" s="55">
        <f t="shared" ref="AK260:AK323" si="53">+IF(COUNTA(W260:AB260)=0,"-",COUNTIF(W260:AB260,"NO"))</f>
        <v>0</v>
      </c>
      <c r="AL260" s="55">
        <f t="shared" ref="AL260:AL323" si="54">+IF(COUNTA(AD260:AE260)=0,"-",COUNTIF(AD260:AE260,"NO"))</f>
        <v>0</v>
      </c>
      <c r="AM260" s="104" t="s">
        <v>585</v>
      </c>
      <c r="AN260" s="55"/>
      <c r="AO260" s="61"/>
      <c r="AP260" s="61"/>
      <c r="AQ260" s="59" t="str">
        <f>IFERROR(_xlfn.XLOOKUP(Tabla1[[#This Row],[Cedula agente]],Lista!$B$2:$B$97,Lista!$G$2:$G$97)," ")</f>
        <v>Luisa Fernanda Benavides Castrillon</v>
      </c>
      <c r="AR260" s="59" t="s">
        <v>162</v>
      </c>
      <c r="AS260" s="55" t="str">
        <f>IFERROR(_xlfn.XLOOKUP(Tabla1[[#This Row],[Cedula agente]],Lista!$B$2:$B$97,Lista!$F$2:$F$97)," ")</f>
        <v>John Sebastian Roncancio Avendaño</v>
      </c>
      <c r="AT260" s="99">
        <v>0.95</v>
      </c>
      <c r="AU260" s="200">
        <f>+WEEKNUM('Score BD'!$H260)-WEEKNUM(DATE(YEAR('Score BD'!$H260),MONTH('Score BD'!$H260),1))+1</f>
        <v>4</v>
      </c>
    </row>
    <row r="261" spans="1:47" ht="17.45" customHeight="1" x14ac:dyDescent="0.3">
      <c r="A261" s="49" t="str">
        <f t="shared" si="44"/>
        <v>Ministerio de Educación Nacional</v>
      </c>
      <c r="B261" s="50">
        <f>+IFERROR(COUNTIF($J$3:J261,J261)," ")</f>
        <v>29</v>
      </c>
      <c r="C261" s="54" t="str">
        <f>+'Score BD'!$J261&amp;'Score BD'!$B261</f>
        <v>Erika Natalia Ramírez Herrera29</v>
      </c>
      <c r="D261" s="91" t="s">
        <v>148</v>
      </c>
      <c r="E261" s="92" t="s">
        <v>164</v>
      </c>
      <c r="F261" s="92" t="s">
        <v>212</v>
      </c>
      <c r="G261" s="60" t="str">
        <f t="shared" si="45"/>
        <v>Noviembre</v>
      </c>
      <c r="H261" s="67">
        <v>45980</v>
      </c>
      <c r="I261" s="243">
        <v>45979</v>
      </c>
      <c r="J261" s="57" t="s">
        <v>174</v>
      </c>
      <c r="K261" s="54">
        <f>IFERROR(VLOOKUP('Score BD'!$J261,Lista!A:B,2,0)," ")</f>
        <v>1032367072</v>
      </c>
      <c r="L261" s="61" t="s">
        <v>508</v>
      </c>
      <c r="M261" s="59" t="s">
        <v>4</v>
      </c>
      <c r="N261" s="59" t="s">
        <v>4</v>
      </c>
      <c r="O261" s="59" t="s">
        <v>4</v>
      </c>
      <c r="P261" s="59" t="s">
        <v>4</v>
      </c>
      <c r="Q261" s="96">
        <f t="shared" si="46"/>
        <v>1</v>
      </c>
      <c r="R261" s="59" t="s">
        <v>4</v>
      </c>
      <c r="S261" s="59" t="s">
        <v>4</v>
      </c>
      <c r="T261" s="59" t="s">
        <v>4</v>
      </c>
      <c r="U261" s="59" t="s">
        <v>4</v>
      </c>
      <c r="V261" s="45">
        <f t="shared" si="47"/>
        <v>1</v>
      </c>
      <c r="W261" s="59" t="s">
        <v>4</v>
      </c>
      <c r="X261" s="59" t="s">
        <v>4</v>
      </c>
      <c r="Y261" s="59" t="s">
        <v>4</v>
      </c>
      <c r="Z261" s="59" t="s">
        <v>4</v>
      </c>
      <c r="AA261" s="59" t="s">
        <v>4</v>
      </c>
      <c r="AB261" s="59" t="s">
        <v>4</v>
      </c>
      <c r="AC261" s="45">
        <f t="shared" si="48"/>
        <v>1.000000000000002</v>
      </c>
      <c r="AD261" s="43" t="s">
        <v>4</v>
      </c>
      <c r="AE261" s="43" t="s">
        <v>4</v>
      </c>
      <c r="AF261" s="97">
        <f t="shared" si="49"/>
        <v>1</v>
      </c>
      <c r="AG261" s="44">
        <f t="shared" si="50"/>
        <v>1.0000000000000004</v>
      </c>
      <c r="AH261" s="55">
        <f t="shared" si="51"/>
        <v>0</v>
      </c>
      <c r="AI261" s="55">
        <f>COUNTIF('Score BD'!$M261:$P261,"no")</f>
        <v>0</v>
      </c>
      <c r="AJ261" s="55">
        <f t="shared" si="52"/>
        <v>0</v>
      </c>
      <c r="AK261" s="55">
        <f t="shared" si="53"/>
        <v>0</v>
      </c>
      <c r="AL261" s="55">
        <f t="shared" si="54"/>
        <v>0</v>
      </c>
      <c r="AM261" s="104" t="s">
        <v>585</v>
      </c>
      <c r="AN261" s="55"/>
      <c r="AO261" s="61"/>
      <c r="AP261" s="61"/>
      <c r="AQ261" s="59" t="str">
        <f>IFERROR(_xlfn.XLOOKUP(Tabla1[[#This Row],[Cedula agente]],Lista!$B$2:$B$97,Lista!$G$2:$G$97)," ")</f>
        <v>Luisa Fernanda Benavides Castrillon</v>
      </c>
      <c r="AR261" s="59" t="s">
        <v>162</v>
      </c>
      <c r="AS261" s="55" t="str">
        <f>IFERROR(_xlfn.XLOOKUP(Tabla1[[#This Row],[Cedula agente]],Lista!$B$2:$B$97,Lista!$F$2:$F$97)," ")</f>
        <v>John Sebastian Roncancio Avendaño</v>
      </c>
      <c r="AT261" s="99">
        <v>0.95</v>
      </c>
      <c r="AU261" s="200">
        <f>+WEEKNUM('Score BD'!$H261)-WEEKNUM(DATE(YEAR('Score BD'!$H261),MONTH('Score BD'!$H261),1))+1</f>
        <v>4</v>
      </c>
    </row>
    <row r="262" spans="1:47" ht="17.45" customHeight="1" x14ac:dyDescent="0.3">
      <c r="A262" s="49" t="str">
        <f t="shared" si="44"/>
        <v>Ministerio de Educación Nacional</v>
      </c>
      <c r="B262" s="50">
        <f>+IFERROR(COUNTIF($J$3:J262,J262)," ")</f>
        <v>30</v>
      </c>
      <c r="C262" s="54" t="str">
        <f>+'Score BD'!$J262&amp;'Score BD'!$B262</f>
        <v>Erika Natalia Ramírez Herrera30</v>
      </c>
      <c r="D262" s="91" t="s">
        <v>148</v>
      </c>
      <c r="E262" s="92" t="s">
        <v>164</v>
      </c>
      <c r="F262" s="92" t="s">
        <v>212</v>
      </c>
      <c r="G262" s="60" t="str">
        <f t="shared" si="45"/>
        <v>Noviembre</v>
      </c>
      <c r="H262" s="67">
        <v>45980</v>
      </c>
      <c r="I262" s="243">
        <v>45979</v>
      </c>
      <c r="J262" s="57" t="s">
        <v>174</v>
      </c>
      <c r="K262" s="54">
        <f>IFERROR(VLOOKUP('Score BD'!$J262,Lista!A:B,2,0)," ")</f>
        <v>1032367072</v>
      </c>
      <c r="L262" s="61" t="s">
        <v>509</v>
      </c>
      <c r="M262" s="59" t="s">
        <v>5</v>
      </c>
      <c r="N262" s="59" t="s">
        <v>5</v>
      </c>
      <c r="O262" s="59" t="s">
        <v>4</v>
      </c>
      <c r="P262" s="59" t="s">
        <v>4</v>
      </c>
      <c r="Q262" s="96">
        <f t="shared" si="46"/>
        <v>0.5</v>
      </c>
      <c r="R262" s="59" t="s">
        <v>4</v>
      </c>
      <c r="S262" s="59" t="s">
        <v>4</v>
      </c>
      <c r="T262" s="59" t="s">
        <v>4</v>
      </c>
      <c r="U262" s="59" t="s">
        <v>4</v>
      </c>
      <c r="V262" s="45">
        <f t="shared" si="47"/>
        <v>1</v>
      </c>
      <c r="W262" s="59" t="s">
        <v>4</v>
      </c>
      <c r="X262" s="59" t="s">
        <v>4</v>
      </c>
      <c r="Y262" s="59" t="s">
        <v>4</v>
      </c>
      <c r="Z262" s="59" t="s">
        <v>4</v>
      </c>
      <c r="AA262" s="59" t="s">
        <v>4</v>
      </c>
      <c r="AB262" s="59" t="s">
        <v>4</v>
      </c>
      <c r="AC262" s="45">
        <f t="shared" si="48"/>
        <v>1.000000000000002</v>
      </c>
      <c r="AD262" s="43" t="s">
        <v>4</v>
      </c>
      <c r="AE262" s="43" t="s">
        <v>4</v>
      </c>
      <c r="AF262" s="97">
        <f t="shared" si="49"/>
        <v>1</v>
      </c>
      <c r="AG262" s="44">
        <f t="shared" si="50"/>
        <v>0.87500000000000044</v>
      </c>
      <c r="AH262" s="55">
        <f t="shared" si="51"/>
        <v>0</v>
      </c>
      <c r="AI262" s="55">
        <f>COUNTIF('Score BD'!$M262:$P262,"no")</f>
        <v>2</v>
      </c>
      <c r="AJ262" s="55">
        <f t="shared" si="52"/>
        <v>0</v>
      </c>
      <c r="AK262" s="55">
        <f t="shared" si="53"/>
        <v>0</v>
      </c>
      <c r="AL262" s="55">
        <f t="shared" si="54"/>
        <v>0</v>
      </c>
      <c r="AM262" s="59" t="s">
        <v>572</v>
      </c>
      <c r="AN262" s="55" t="s">
        <v>573</v>
      </c>
      <c r="AO262" s="102" t="s">
        <v>270</v>
      </c>
      <c r="AP262" s="261" t="s">
        <v>588</v>
      </c>
      <c r="AQ262" s="59" t="str">
        <f>IFERROR(_xlfn.XLOOKUP(Tabla1[[#This Row],[Cedula agente]],Lista!$B$2:$B$97,Lista!$G$2:$G$97)," ")</f>
        <v>Luisa Fernanda Benavides Castrillon</v>
      </c>
      <c r="AR262" s="59" t="s">
        <v>162</v>
      </c>
      <c r="AS262" s="55" t="str">
        <f>IFERROR(_xlfn.XLOOKUP(Tabla1[[#This Row],[Cedula agente]],Lista!$B$2:$B$97,Lista!$F$2:$F$97)," ")</f>
        <v>John Sebastian Roncancio Avendaño</v>
      </c>
      <c r="AT262" s="99">
        <v>0.95</v>
      </c>
      <c r="AU262" s="200">
        <f>+WEEKNUM('Score BD'!$H262)-WEEKNUM(DATE(YEAR('Score BD'!$H262),MONTH('Score BD'!$H262),1))+1</f>
        <v>4</v>
      </c>
    </row>
    <row r="263" spans="1:47" ht="17.45" customHeight="1" x14ac:dyDescent="0.3">
      <c r="A263" s="49" t="str">
        <f t="shared" si="44"/>
        <v>Ministerio de Educación Nacional</v>
      </c>
      <c r="B263" s="50">
        <f>+IFERROR(COUNTIF($J$3:J263,J263)," ")</f>
        <v>11</v>
      </c>
      <c r="C263" s="54" t="str">
        <f>+'Score BD'!$J263&amp;'Score BD'!$B263</f>
        <v>Henry Eduardo Padilla Castilla11</v>
      </c>
      <c r="D263" s="91" t="s">
        <v>148</v>
      </c>
      <c r="E263" s="92" t="s">
        <v>165</v>
      </c>
      <c r="F263" s="92" t="s">
        <v>212</v>
      </c>
      <c r="G263" s="60" t="str">
        <f t="shared" si="45"/>
        <v>Noviembre</v>
      </c>
      <c r="H263" s="67">
        <v>45980</v>
      </c>
      <c r="I263" s="243">
        <v>45979</v>
      </c>
      <c r="J263" s="57" t="s">
        <v>175</v>
      </c>
      <c r="K263" s="54">
        <f>IFERROR(VLOOKUP('Score BD'!$J263,Lista!A:B,2,0)," ")</f>
        <v>1063968280</v>
      </c>
      <c r="L263" s="61" t="s">
        <v>510</v>
      </c>
      <c r="M263" s="59" t="s">
        <v>4</v>
      </c>
      <c r="N263" s="59" t="s">
        <v>4</v>
      </c>
      <c r="O263" s="59" t="s">
        <v>4</v>
      </c>
      <c r="P263" s="59" t="s">
        <v>4</v>
      </c>
      <c r="Q263" s="96">
        <f t="shared" si="46"/>
        <v>1</v>
      </c>
      <c r="R263" s="59" t="s">
        <v>4</v>
      </c>
      <c r="S263" s="59" t="s">
        <v>4</v>
      </c>
      <c r="T263" s="59" t="s">
        <v>4</v>
      </c>
      <c r="U263" s="59" t="s">
        <v>4</v>
      </c>
      <c r="V263" s="45">
        <f t="shared" si="47"/>
        <v>1</v>
      </c>
      <c r="W263" s="59" t="s">
        <v>4</v>
      </c>
      <c r="X263" s="59" t="s">
        <v>4</v>
      </c>
      <c r="Y263" s="59" t="s">
        <v>4</v>
      </c>
      <c r="Z263" s="59" t="s">
        <v>4</v>
      </c>
      <c r="AA263" s="59" t="s">
        <v>4</v>
      </c>
      <c r="AB263" s="59" t="s">
        <v>4</v>
      </c>
      <c r="AC263" s="45">
        <f t="shared" si="48"/>
        <v>1.000000000000002</v>
      </c>
      <c r="AD263" s="43" t="s">
        <v>4</v>
      </c>
      <c r="AE263" s="43" t="s">
        <v>4</v>
      </c>
      <c r="AF263" s="97">
        <f t="shared" si="49"/>
        <v>1</v>
      </c>
      <c r="AG263" s="44">
        <f t="shared" si="50"/>
        <v>1.0000000000000004</v>
      </c>
      <c r="AH263" s="55">
        <f t="shared" si="51"/>
        <v>0</v>
      </c>
      <c r="AI263" s="55">
        <f>COUNTIF('Score BD'!$M263:$P263,"no")</f>
        <v>0</v>
      </c>
      <c r="AJ263" s="55">
        <f t="shared" si="52"/>
        <v>0</v>
      </c>
      <c r="AK263" s="55">
        <f t="shared" si="53"/>
        <v>0</v>
      </c>
      <c r="AL263" s="55">
        <f t="shared" si="54"/>
        <v>0</v>
      </c>
      <c r="AM263" s="104" t="s">
        <v>585</v>
      </c>
      <c r="AN263" s="55"/>
      <c r="AO263" s="61"/>
      <c r="AP263" s="61"/>
      <c r="AQ263" s="59" t="str">
        <f>IFERROR(_xlfn.XLOOKUP(Tabla1[[#This Row],[Cedula agente]],Lista!$B$2:$B$97,Lista!$G$2:$G$97)," ")</f>
        <v>Luisa Fernanda Benavides Castrillon</v>
      </c>
      <c r="AR263" s="59" t="s">
        <v>162</v>
      </c>
      <c r="AS263" s="55" t="str">
        <f>IFERROR(_xlfn.XLOOKUP(Tabla1[[#This Row],[Cedula agente]],Lista!$B$2:$B$97,Lista!$F$2:$F$97)," ")</f>
        <v>John Sebastian Roncancio Avendaño</v>
      </c>
      <c r="AT263" s="99">
        <v>0.95</v>
      </c>
      <c r="AU263" s="200">
        <f>+WEEKNUM('Score BD'!$H263)-WEEKNUM(DATE(YEAR('Score BD'!$H263),MONTH('Score BD'!$H263),1))+1</f>
        <v>4</v>
      </c>
    </row>
    <row r="264" spans="1:47" ht="17.45" customHeight="1" x14ac:dyDescent="0.3">
      <c r="A264" s="49" t="str">
        <f t="shared" si="44"/>
        <v>Ministerio de Educación Nacional</v>
      </c>
      <c r="B264" s="50">
        <f>+IFERROR(COUNTIF($J$3:J264,J264)," ")</f>
        <v>19</v>
      </c>
      <c r="C264" s="54" t="str">
        <f>+'Score BD'!$J264&amp;'Score BD'!$B264</f>
        <v>Ingrid Carolina Monsalve Quintero19</v>
      </c>
      <c r="D264" s="91" t="s">
        <v>148</v>
      </c>
      <c r="E264" s="92" t="s">
        <v>164</v>
      </c>
      <c r="F264" s="92" t="s">
        <v>212</v>
      </c>
      <c r="G264" s="60" t="str">
        <f t="shared" si="45"/>
        <v>Noviembre</v>
      </c>
      <c r="H264" s="67">
        <v>45980</v>
      </c>
      <c r="I264" s="243">
        <v>45979</v>
      </c>
      <c r="J264" s="57" t="s">
        <v>176</v>
      </c>
      <c r="K264" s="54">
        <f>IFERROR(VLOOKUP('Score BD'!$J264,Lista!A:B,2,0)," ")</f>
        <v>52805909</v>
      </c>
      <c r="L264" s="61" t="s">
        <v>511</v>
      </c>
      <c r="M264" s="59" t="s">
        <v>4</v>
      </c>
      <c r="N264" s="59" t="s">
        <v>4</v>
      </c>
      <c r="O264" s="59" t="s">
        <v>4</v>
      </c>
      <c r="P264" s="59" t="s">
        <v>4</v>
      </c>
      <c r="Q264" s="96">
        <f t="shared" si="46"/>
        <v>1</v>
      </c>
      <c r="R264" s="59" t="s">
        <v>4</v>
      </c>
      <c r="S264" s="59" t="s">
        <v>4</v>
      </c>
      <c r="T264" s="59" t="s">
        <v>4</v>
      </c>
      <c r="U264" s="59" t="s">
        <v>4</v>
      </c>
      <c r="V264" s="45">
        <f t="shared" si="47"/>
        <v>1</v>
      </c>
      <c r="W264" s="59" t="s">
        <v>4</v>
      </c>
      <c r="X264" s="59" t="s">
        <v>4</v>
      </c>
      <c r="Y264" s="59" t="s">
        <v>4</v>
      </c>
      <c r="Z264" s="59" t="s">
        <v>4</v>
      </c>
      <c r="AA264" s="59" t="s">
        <v>4</v>
      </c>
      <c r="AB264" s="59" t="s">
        <v>4</v>
      </c>
      <c r="AC264" s="45">
        <f t="shared" si="48"/>
        <v>1.000000000000002</v>
      </c>
      <c r="AD264" s="43" t="s">
        <v>4</v>
      </c>
      <c r="AE264" s="43" t="s">
        <v>4</v>
      </c>
      <c r="AF264" s="97">
        <f t="shared" si="49"/>
        <v>1</v>
      </c>
      <c r="AG264" s="44">
        <f t="shared" si="50"/>
        <v>1.0000000000000004</v>
      </c>
      <c r="AH264" s="55">
        <f t="shared" si="51"/>
        <v>0</v>
      </c>
      <c r="AI264" s="55">
        <f>COUNTIF('Score BD'!$M264:$P264,"no")</f>
        <v>0</v>
      </c>
      <c r="AJ264" s="55">
        <f t="shared" si="52"/>
        <v>0</v>
      </c>
      <c r="AK264" s="55">
        <f t="shared" si="53"/>
        <v>0</v>
      </c>
      <c r="AL264" s="55">
        <f t="shared" si="54"/>
        <v>0</v>
      </c>
      <c r="AM264" s="104" t="s">
        <v>585</v>
      </c>
      <c r="AN264" s="55"/>
      <c r="AO264" s="61"/>
      <c r="AP264" s="61"/>
      <c r="AQ264" s="59" t="str">
        <f>IFERROR(_xlfn.XLOOKUP(Tabla1[[#This Row],[Cedula agente]],Lista!$B$2:$B$97,Lista!$G$2:$G$97)," ")</f>
        <v>Luisa Fernanda Benavides Castrillon</v>
      </c>
      <c r="AR264" s="59" t="s">
        <v>162</v>
      </c>
      <c r="AS264" s="55" t="str">
        <f>IFERROR(_xlfn.XLOOKUP(Tabla1[[#This Row],[Cedula agente]],Lista!$B$2:$B$97,Lista!$F$2:$F$97)," ")</f>
        <v>John Sebastian Roncancio Avendaño</v>
      </c>
      <c r="AT264" s="99">
        <v>0.95</v>
      </c>
      <c r="AU264" s="200">
        <f>+WEEKNUM('Score BD'!$H264)-WEEKNUM(DATE(YEAR('Score BD'!$H264),MONTH('Score BD'!$H264),1))+1</f>
        <v>4</v>
      </c>
    </row>
    <row r="265" spans="1:47" ht="17.45" customHeight="1" x14ac:dyDescent="0.3">
      <c r="A265" s="49" t="str">
        <f t="shared" si="44"/>
        <v>Ministerio de Educación Nacional</v>
      </c>
      <c r="B265" s="50">
        <f>+IFERROR(COUNTIF($J$3:J265,J265)," ")</f>
        <v>20</v>
      </c>
      <c r="C265" s="54" t="str">
        <f>+'Score BD'!$J265&amp;'Score BD'!$B265</f>
        <v>Ingrid Carolina Monsalve Quintero20</v>
      </c>
      <c r="D265" s="91" t="s">
        <v>148</v>
      </c>
      <c r="E265" s="92" t="s">
        <v>164</v>
      </c>
      <c r="F265" s="92" t="s">
        <v>212</v>
      </c>
      <c r="G265" s="60" t="str">
        <f t="shared" si="45"/>
        <v>Noviembre</v>
      </c>
      <c r="H265" s="67">
        <v>45980</v>
      </c>
      <c r="I265" s="243">
        <v>45979</v>
      </c>
      <c r="J265" s="57" t="s">
        <v>176</v>
      </c>
      <c r="K265" s="54">
        <f>IFERROR(VLOOKUP('Score BD'!$J265,Lista!A:B,2,0)," ")</f>
        <v>52805909</v>
      </c>
      <c r="L265" s="61" t="s">
        <v>512</v>
      </c>
      <c r="M265" s="59" t="s">
        <v>4</v>
      </c>
      <c r="N265" s="59" t="s">
        <v>4</v>
      </c>
      <c r="O265" s="59" t="s">
        <v>4</v>
      </c>
      <c r="P265" s="59" t="s">
        <v>4</v>
      </c>
      <c r="Q265" s="96">
        <f t="shared" si="46"/>
        <v>1</v>
      </c>
      <c r="R265" s="59" t="s">
        <v>4</v>
      </c>
      <c r="S265" s="59" t="s">
        <v>4</v>
      </c>
      <c r="T265" s="59" t="s">
        <v>4</v>
      </c>
      <c r="U265" s="59" t="s">
        <v>4</v>
      </c>
      <c r="V265" s="45">
        <f t="shared" si="47"/>
        <v>1</v>
      </c>
      <c r="W265" s="59" t="s">
        <v>4</v>
      </c>
      <c r="X265" s="59" t="s">
        <v>4</v>
      </c>
      <c r="Y265" s="59" t="s">
        <v>4</v>
      </c>
      <c r="Z265" s="59" t="s">
        <v>4</v>
      </c>
      <c r="AA265" s="59" t="s">
        <v>4</v>
      </c>
      <c r="AB265" s="59" t="s">
        <v>4</v>
      </c>
      <c r="AC265" s="45">
        <f t="shared" si="48"/>
        <v>1.000000000000002</v>
      </c>
      <c r="AD265" s="43" t="s">
        <v>4</v>
      </c>
      <c r="AE265" s="43" t="s">
        <v>4</v>
      </c>
      <c r="AF265" s="97">
        <f t="shared" si="49"/>
        <v>1</v>
      </c>
      <c r="AG265" s="44">
        <f t="shared" si="50"/>
        <v>1.0000000000000004</v>
      </c>
      <c r="AH265" s="55">
        <f t="shared" si="51"/>
        <v>0</v>
      </c>
      <c r="AI265" s="55">
        <f>COUNTIF('Score BD'!$M265:$P265,"no")</f>
        <v>0</v>
      </c>
      <c r="AJ265" s="55">
        <f t="shared" si="52"/>
        <v>0</v>
      </c>
      <c r="AK265" s="55">
        <f t="shared" si="53"/>
        <v>0</v>
      </c>
      <c r="AL265" s="55">
        <f t="shared" si="54"/>
        <v>0</v>
      </c>
      <c r="AM265" s="104" t="s">
        <v>585</v>
      </c>
      <c r="AN265" s="55"/>
      <c r="AO265" s="61"/>
      <c r="AP265" s="61"/>
      <c r="AQ265" s="59" t="str">
        <f>IFERROR(_xlfn.XLOOKUP(Tabla1[[#This Row],[Cedula agente]],Lista!$B$2:$B$97,Lista!$G$2:$G$97)," ")</f>
        <v>Luisa Fernanda Benavides Castrillon</v>
      </c>
      <c r="AR265" s="59" t="s">
        <v>162</v>
      </c>
      <c r="AS265" s="55" t="str">
        <f>IFERROR(_xlfn.XLOOKUP(Tabla1[[#This Row],[Cedula agente]],Lista!$B$2:$B$97,Lista!$F$2:$F$97)," ")</f>
        <v>John Sebastian Roncancio Avendaño</v>
      </c>
      <c r="AT265" s="99">
        <v>0.95</v>
      </c>
      <c r="AU265" s="200">
        <f>+WEEKNUM('Score BD'!$H265)-WEEKNUM(DATE(YEAR('Score BD'!$H265),MONTH('Score BD'!$H265),1))+1</f>
        <v>4</v>
      </c>
    </row>
    <row r="266" spans="1:47" ht="17.45" customHeight="1" x14ac:dyDescent="0.3">
      <c r="A266" s="49" t="str">
        <f t="shared" si="44"/>
        <v>Ministerio de Educación Nacional</v>
      </c>
      <c r="B266" s="50">
        <f>+IFERROR(COUNTIF($J$3:J266,J266)," ")</f>
        <v>21</v>
      </c>
      <c r="C266" s="54" t="str">
        <f>+'Score BD'!$J266&amp;'Score BD'!$B266</f>
        <v>Ingrid Carolina Monsalve Quintero21</v>
      </c>
      <c r="D266" s="91" t="s">
        <v>148</v>
      </c>
      <c r="E266" s="92" t="s">
        <v>164</v>
      </c>
      <c r="F266" s="92" t="s">
        <v>212</v>
      </c>
      <c r="G266" s="60" t="str">
        <f t="shared" si="45"/>
        <v>Noviembre</v>
      </c>
      <c r="H266" s="67">
        <v>45980</v>
      </c>
      <c r="I266" s="243">
        <v>45979</v>
      </c>
      <c r="J266" s="57" t="s">
        <v>176</v>
      </c>
      <c r="K266" s="54">
        <f>IFERROR(VLOOKUP('Score BD'!$J266,Lista!A:B,2,0)," ")</f>
        <v>52805909</v>
      </c>
      <c r="L266" s="61" t="s">
        <v>513</v>
      </c>
      <c r="M266" s="59" t="s">
        <v>4</v>
      </c>
      <c r="N266" s="59" t="s">
        <v>4</v>
      </c>
      <c r="O266" s="59" t="s">
        <v>4</v>
      </c>
      <c r="P266" s="59" t="s">
        <v>4</v>
      </c>
      <c r="Q266" s="96">
        <f t="shared" si="46"/>
        <v>1</v>
      </c>
      <c r="R266" s="59" t="s">
        <v>4</v>
      </c>
      <c r="S266" s="59" t="s">
        <v>4</v>
      </c>
      <c r="T266" s="59" t="s">
        <v>4</v>
      </c>
      <c r="U266" s="59" t="s">
        <v>4</v>
      </c>
      <c r="V266" s="45">
        <f t="shared" si="47"/>
        <v>1</v>
      </c>
      <c r="W266" s="59" t="s">
        <v>4</v>
      </c>
      <c r="X266" s="59" t="s">
        <v>4</v>
      </c>
      <c r="Y266" s="59" t="s">
        <v>4</v>
      </c>
      <c r="Z266" s="59" t="s">
        <v>4</v>
      </c>
      <c r="AA266" s="59" t="s">
        <v>4</v>
      </c>
      <c r="AB266" s="59" t="s">
        <v>4</v>
      </c>
      <c r="AC266" s="45">
        <f t="shared" si="48"/>
        <v>1.000000000000002</v>
      </c>
      <c r="AD266" s="43" t="s">
        <v>4</v>
      </c>
      <c r="AE266" s="43" t="s">
        <v>4</v>
      </c>
      <c r="AF266" s="97">
        <f t="shared" si="49"/>
        <v>1</v>
      </c>
      <c r="AG266" s="44">
        <f t="shared" si="50"/>
        <v>1.0000000000000004</v>
      </c>
      <c r="AH266" s="55">
        <f t="shared" si="51"/>
        <v>0</v>
      </c>
      <c r="AI266" s="55">
        <f>COUNTIF('Score BD'!$M266:$P266,"no")</f>
        <v>0</v>
      </c>
      <c r="AJ266" s="55">
        <f t="shared" si="52"/>
        <v>0</v>
      </c>
      <c r="AK266" s="55">
        <f t="shared" si="53"/>
        <v>0</v>
      </c>
      <c r="AL266" s="55">
        <f t="shared" si="54"/>
        <v>0</v>
      </c>
      <c r="AM266" s="104" t="s">
        <v>585</v>
      </c>
      <c r="AN266" s="55"/>
      <c r="AO266" s="61"/>
      <c r="AP266" s="61"/>
      <c r="AQ266" s="59" t="str">
        <f>IFERROR(_xlfn.XLOOKUP(Tabla1[[#This Row],[Cedula agente]],Lista!$B$2:$B$97,Lista!$G$2:$G$97)," ")</f>
        <v>Luisa Fernanda Benavides Castrillon</v>
      </c>
      <c r="AR266" s="59" t="s">
        <v>162</v>
      </c>
      <c r="AS266" s="55" t="str">
        <f>IFERROR(_xlfn.XLOOKUP(Tabla1[[#This Row],[Cedula agente]],Lista!$B$2:$B$97,Lista!$F$2:$F$97)," ")</f>
        <v>John Sebastian Roncancio Avendaño</v>
      </c>
      <c r="AT266" s="99">
        <v>0.95</v>
      </c>
      <c r="AU266" s="200">
        <f>+WEEKNUM('Score BD'!$H266)-WEEKNUM(DATE(YEAR('Score BD'!$H266),MONTH('Score BD'!$H266),1))+1</f>
        <v>4</v>
      </c>
    </row>
    <row r="267" spans="1:47" ht="17.45" customHeight="1" x14ac:dyDescent="0.3">
      <c r="A267" s="49" t="str">
        <f t="shared" si="44"/>
        <v>Ministerio de Educación Nacional</v>
      </c>
      <c r="B267" s="50">
        <f>+IFERROR(COUNTIF($J$3:J267,J267)," ")</f>
        <v>9</v>
      </c>
      <c r="C267" s="54" t="str">
        <f>+'Score BD'!$J267&amp;'Score BD'!$B267</f>
        <v>Jesus David Hernandez Fernandez de Castro9</v>
      </c>
      <c r="D267" s="91" t="s">
        <v>148</v>
      </c>
      <c r="E267" s="92" t="s">
        <v>208</v>
      </c>
      <c r="F267" s="92" t="s">
        <v>212</v>
      </c>
      <c r="G267" s="60" t="str">
        <f t="shared" si="45"/>
        <v>Noviembre</v>
      </c>
      <c r="H267" s="67">
        <v>45980</v>
      </c>
      <c r="I267" s="243">
        <v>45979</v>
      </c>
      <c r="J267" s="57" t="s">
        <v>177</v>
      </c>
      <c r="K267" s="54">
        <f>IFERROR(VLOOKUP('Score BD'!$J267,Lista!A:B,2,0)," ")</f>
        <v>1083038013</v>
      </c>
      <c r="L267" s="61" t="s">
        <v>514</v>
      </c>
      <c r="M267" s="59" t="s">
        <v>4</v>
      </c>
      <c r="N267" s="59" t="s">
        <v>4</v>
      </c>
      <c r="O267" s="59" t="s">
        <v>4</v>
      </c>
      <c r="P267" s="59" t="s">
        <v>4</v>
      </c>
      <c r="Q267" s="96">
        <f t="shared" si="46"/>
        <v>1</v>
      </c>
      <c r="R267" s="59" t="s">
        <v>4</v>
      </c>
      <c r="S267" s="59" t="s">
        <v>4</v>
      </c>
      <c r="T267" s="59" t="s">
        <v>4</v>
      </c>
      <c r="U267" s="59" t="s">
        <v>5</v>
      </c>
      <c r="V267" s="45">
        <f t="shared" si="47"/>
        <v>0.75</v>
      </c>
      <c r="W267" s="59" t="s">
        <v>4</v>
      </c>
      <c r="X267" s="59" t="s">
        <v>4</v>
      </c>
      <c r="Y267" s="59" t="s">
        <v>4</v>
      </c>
      <c r="Z267" s="59" t="s">
        <v>4</v>
      </c>
      <c r="AA267" s="59" t="s">
        <v>4</v>
      </c>
      <c r="AB267" s="59" t="s">
        <v>4</v>
      </c>
      <c r="AC267" s="45">
        <f t="shared" si="48"/>
        <v>1.000000000000002</v>
      </c>
      <c r="AD267" s="43" t="s">
        <v>4</v>
      </c>
      <c r="AE267" s="43" t="s">
        <v>4</v>
      </c>
      <c r="AF267" s="97">
        <f t="shared" si="49"/>
        <v>1</v>
      </c>
      <c r="AG267" s="44">
        <f t="shared" si="50"/>
        <v>0.93750000000000044</v>
      </c>
      <c r="AH267" s="55">
        <f t="shared" si="51"/>
        <v>1</v>
      </c>
      <c r="AI267" s="55">
        <f>COUNTIF('Score BD'!$M267:$P267,"no")</f>
        <v>0</v>
      </c>
      <c r="AJ267" s="55">
        <f t="shared" si="52"/>
        <v>1</v>
      </c>
      <c r="AK267" s="55">
        <f t="shared" si="53"/>
        <v>0</v>
      </c>
      <c r="AL267" s="55">
        <f t="shared" si="54"/>
        <v>0</v>
      </c>
      <c r="AM267" s="59" t="s">
        <v>576</v>
      </c>
      <c r="AN267" s="55" t="s">
        <v>574</v>
      </c>
      <c r="AO267" s="102" t="s">
        <v>270</v>
      </c>
      <c r="AP267" s="262" t="s">
        <v>578</v>
      </c>
      <c r="AQ267" s="59" t="str">
        <f>IFERROR(_xlfn.XLOOKUP(Tabla1[[#This Row],[Cedula agente]],Lista!$B$2:$B$97,Lista!$G$2:$G$97)," ")</f>
        <v>Luisa Fernanda Benavides Castrillon</v>
      </c>
      <c r="AR267" s="59" t="s">
        <v>162</v>
      </c>
      <c r="AS267" s="55" t="str">
        <f>IFERROR(_xlfn.XLOOKUP(Tabla1[[#This Row],[Cedula agente]],Lista!$B$2:$B$97,Lista!$F$2:$F$97)," ")</f>
        <v>John Sebastian Roncancio Avendaño</v>
      </c>
      <c r="AT267" s="99">
        <v>0.95</v>
      </c>
      <c r="AU267" s="200">
        <f>+WEEKNUM('Score BD'!$H267)-WEEKNUM(DATE(YEAR('Score BD'!$H267),MONTH('Score BD'!$H267),1))+1</f>
        <v>4</v>
      </c>
    </row>
    <row r="268" spans="1:47" ht="17.45" customHeight="1" x14ac:dyDescent="0.3">
      <c r="A268" s="49" t="str">
        <f t="shared" si="44"/>
        <v>Ministerio de Educación Nacional</v>
      </c>
      <c r="B268" s="50">
        <f>+IFERROR(COUNTIF($J$3:J268,J268)," ")</f>
        <v>18</v>
      </c>
      <c r="C268" s="54" t="str">
        <f>+'Score BD'!$J268&amp;'Score BD'!$B268</f>
        <v>Juan Jose Santoya Medina18</v>
      </c>
      <c r="D268" s="91" t="s">
        <v>148</v>
      </c>
      <c r="E268" s="92" t="s">
        <v>165</v>
      </c>
      <c r="F268" s="92" t="s">
        <v>212</v>
      </c>
      <c r="G268" s="60" t="str">
        <f t="shared" si="45"/>
        <v>Noviembre</v>
      </c>
      <c r="H268" s="67">
        <v>45980</v>
      </c>
      <c r="I268" s="243">
        <v>45979</v>
      </c>
      <c r="J268" s="57" t="s">
        <v>178</v>
      </c>
      <c r="K268" s="54">
        <f>IFERROR(VLOOKUP('Score BD'!$J268,Lista!A:B,2,0)," ")</f>
        <v>1053345183</v>
      </c>
      <c r="L268" s="61" t="s">
        <v>515</v>
      </c>
      <c r="M268" s="59" t="s">
        <v>4</v>
      </c>
      <c r="N268" s="59" t="s">
        <v>4</v>
      </c>
      <c r="O268" s="59" t="s">
        <v>4</v>
      </c>
      <c r="P268" s="59" t="s">
        <v>4</v>
      </c>
      <c r="Q268" s="96">
        <f t="shared" si="46"/>
        <v>1</v>
      </c>
      <c r="R268" s="59" t="s">
        <v>4</v>
      </c>
      <c r="S268" s="59" t="s">
        <v>4</v>
      </c>
      <c r="T268" s="59" t="s">
        <v>4</v>
      </c>
      <c r="U268" s="59" t="s">
        <v>4</v>
      </c>
      <c r="V268" s="45">
        <f t="shared" si="47"/>
        <v>1</v>
      </c>
      <c r="W268" s="59" t="s">
        <v>4</v>
      </c>
      <c r="X268" s="59" t="s">
        <v>4</v>
      </c>
      <c r="Y268" s="59" t="s">
        <v>4</v>
      </c>
      <c r="Z268" s="59" t="s">
        <v>4</v>
      </c>
      <c r="AA268" s="59" t="s">
        <v>4</v>
      </c>
      <c r="AB268" s="59" t="s">
        <v>4</v>
      </c>
      <c r="AC268" s="45">
        <f t="shared" si="48"/>
        <v>1.000000000000002</v>
      </c>
      <c r="AD268" s="43" t="s">
        <v>4</v>
      </c>
      <c r="AE268" s="43" t="s">
        <v>4</v>
      </c>
      <c r="AF268" s="97">
        <f t="shared" si="49"/>
        <v>1</v>
      </c>
      <c r="AG268" s="44">
        <f t="shared" si="50"/>
        <v>1.0000000000000004</v>
      </c>
      <c r="AH268" s="55">
        <f t="shared" si="51"/>
        <v>0</v>
      </c>
      <c r="AI268" s="55">
        <f>COUNTIF('Score BD'!$M268:$P268,"no")</f>
        <v>0</v>
      </c>
      <c r="AJ268" s="55">
        <f t="shared" si="52"/>
        <v>0</v>
      </c>
      <c r="AK268" s="55">
        <f t="shared" si="53"/>
        <v>0</v>
      </c>
      <c r="AL268" s="55">
        <f t="shared" si="54"/>
        <v>0</v>
      </c>
      <c r="AM268" s="104" t="s">
        <v>585</v>
      </c>
      <c r="AN268" s="55"/>
      <c r="AO268" s="61"/>
      <c r="AP268" s="61"/>
      <c r="AQ268" s="59" t="str">
        <f>IFERROR(_xlfn.XLOOKUP(Tabla1[[#This Row],[Cedula agente]],Lista!$B$2:$B$97,Lista!$G$2:$G$97)," ")</f>
        <v>Luisa Fernanda Benavides Castrillon</v>
      </c>
      <c r="AR268" s="59" t="s">
        <v>162</v>
      </c>
      <c r="AS268" s="55" t="str">
        <f>IFERROR(_xlfn.XLOOKUP(Tabla1[[#This Row],[Cedula agente]],Lista!$B$2:$B$97,Lista!$F$2:$F$97)," ")</f>
        <v>John Sebastian Roncancio Avendaño</v>
      </c>
      <c r="AT268" s="99">
        <v>0.95</v>
      </c>
      <c r="AU268" s="200">
        <f>+WEEKNUM('Score BD'!$H268)-WEEKNUM(DATE(YEAR('Score BD'!$H268),MONTH('Score BD'!$H268),1))+1</f>
        <v>4</v>
      </c>
    </row>
    <row r="269" spans="1:47" ht="17.45" customHeight="1" x14ac:dyDescent="0.3">
      <c r="A269" s="49" t="str">
        <f t="shared" si="44"/>
        <v>Ministerio de Educación Nacional</v>
      </c>
      <c r="B269" s="50">
        <f>+IFERROR(COUNTIF($J$3:J269,J269)," ")</f>
        <v>12</v>
      </c>
      <c r="C269" s="54" t="str">
        <f>+'Score BD'!$J269&amp;'Score BD'!$B269</f>
        <v>Juan Sebastián Suárez Morales12</v>
      </c>
      <c r="D269" s="91" t="s">
        <v>148</v>
      </c>
      <c r="E269" s="92" t="s">
        <v>165</v>
      </c>
      <c r="F269" s="92" t="s">
        <v>212</v>
      </c>
      <c r="G269" s="60" t="str">
        <f t="shared" si="45"/>
        <v>Noviembre</v>
      </c>
      <c r="H269" s="67">
        <v>45980</v>
      </c>
      <c r="I269" s="243">
        <v>45979</v>
      </c>
      <c r="J269" s="57" t="s">
        <v>179</v>
      </c>
      <c r="K269" s="54">
        <f>IFERROR(VLOOKUP('Score BD'!$J269,Lista!A:B,2,0)," ")</f>
        <v>1030541070</v>
      </c>
      <c r="L269" s="61" t="s">
        <v>516</v>
      </c>
      <c r="M269" s="59" t="s">
        <v>4</v>
      </c>
      <c r="N269" s="59" t="s">
        <v>4</v>
      </c>
      <c r="O269" s="59" t="s">
        <v>4</v>
      </c>
      <c r="P269" s="59" t="s">
        <v>4</v>
      </c>
      <c r="Q269" s="96">
        <f t="shared" si="46"/>
        <v>1</v>
      </c>
      <c r="R269" s="59" t="s">
        <v>4</v>
      </c>
      <c r="S269" s="59" t="s">
        <v>4</v>
      </c>
      <c r="T269" s="59" t="s">
        <v>4</v>
      </c>
      <c r="U269" s="59" t="s">
        <v>4</v>
      </c>
      <c r="V269" s="45">
        <f t="shared" si="47"/>
        <v>1</v>
      </c>
      <c r="W269" s="59" t="s">
        <v>4</v>
      </c>
      <c r="X269" s="59" t="s">
        <v>4</v>
      </c>
      <c r="Y269" s="59" t="s">
        <v>4</v>
      </c>
      <c r="Z269" s="59" t="s">
        <v>4</v>
      </c>
      <c r="AA269" s="59" t="s">
        <v>4</v>
      </c>
      <c r="AB269" s="59" t="s">
        <v>4</v>
      </c>
      <c r="AC269" s="45">
        <f t="shared" si="48"/>
        <v>1.000000000000002</v>
      </c>
      <c r="AD269" s="43" t="s">
        <v>4</v>
      </c>
      <c r="AE269" s="43" t="s">
        <v>4</v>
      </c>
      <c r="AF269" s="97">
        <f t="shared" si="49"/>
        <v>1</v>
      </c>
      <c r="AG269" s="44">
        <f t="shared" si="50"/>
        <v>1.0000000000000004</v>
      </c>
      <c r="AH269" s="55">
        <f t="shared" si="51"/>
        <v>0</v>
      </c>
      <c r="AI269" s="55">
        <f>COUNTIF('Score BD'!$M269:$P269,"no")</f>
        <v>0</v>
      </c>
      <c r="AJ269" s="55">
        <f t="shared" si="52"/>
        <v>0</v>
      </c>
      <c r="AK269" s="55">
        <f t="shared" si="53"/>
        <v>0</v>
      </c>
      <c r="AL269" s="55">
        <f t="shared" si="54"/>
        <v>0</v>
      </c>
      <c r="AM269" s="104" t="s">
        <v>585</v>
      </c>
      <c r="AN269" s="55"/>
      <c r="AO269" s="61"/>
      <c r="AP269" s="61"/>
      <c r="AQ269" s="59" t="str">
        <f>IFERROR(_xlfn.XLOOKUP(Tabla1[[#This Row],[Cedula agente]],Lista!$B$2:$B$97,Lista!$G$2:$G$97)," ")</f>
        <v>Luisa Fernanda Benavides Castrillon</v>
      </c>
      <c r="AR269" s="59" t="s">
        <v>162</v>
      </c>
      <c r="AS269" s="55" t="str">
        <f>IFERROR(_xlfn.XLOOKUP(Tabla1[[#This Row],[Cedula agente]],Lista!$B$2:$B$97,Lista!$F$2:$F$97)," ")</f>
        <v>John Sebastian Roncancio Avendaño</v>
      </c>
      <c r="AT269" s="99">
        <v>0.95</v>
      </c>
      <c r="AU269" s="200">
        <f>+WEEKNUM('Score BD'!$H269)-WEEKNUM(DATE(YEAR('Score BD'!$H269),MONTH('Score BD'!$H269),1))+1</f>
        <v>4</v>
      </c>
    </row>
    <row r="270" spans="1:47" ht="17.45" customHeight="1" x14ac:dyDescent="0.3">
      <c r="A270" s="49" t="str">
        <f t="shared" si="44"/>
        <v>Ministerio de Educación Nacional</v>
      </c>
      <c r="B270" s="50">
        <f>+IFERROR(COUNTIF($J$3:J270,J270)," ")</f>
        <v>10</v>
      </c>
      <c r="C270" s="54" t="str">
        <f>+'Score BD'!$J270&amp;'Score BD'!$B270</f>
        <v>Laura Juliana Rueda Durán10</v>
      </c>
      <c r="D270" s="91" t="s">
        <v>148</v>
      </c>
      <c r="E270" s="92" t="s">
        <v>165</v>
      </c>
      <c r="F270" s="92" t="s">
        <v>212</v>
      </c>
      <c r="G270" s="60" t="str">
        <f t="shared" si="45"/>
        <v>Noviembre</v>
      </c>
      <c r="H270" s="67">
        <v>45980</v>
      </c>
      <c r="I270" s="243">
        <v>45979</v>
      </c>
      <c r="J270" s="57" t="s">
        <v>180</v>
      </c>
      <c r="K270" s="54">
        <f>IFERROR(VLOOKUP('Score BD'!$J270,Lista!A:B,2,0)," ")</f>
        <v>1026291591</v>
      </c>
      <c r="L270" s="61" t="s">
        <v>517</v>
      </c>
      <c r="M270" s="59" t="s">
        <v>4</v>
      </c>
      <c r="N270" s="59" t="s">
        <v>4</v>
      </c>
      <c r="O270" s="59" t="s">
        <v>4</v>
      </c>
      <c r="P270" s="59" t="s">
        <v>4</v>
      </c>
      <c r="Q270" s="96">
        <f t="shared" si="46"/>
        <v>1</v>
      </c>
      <c r="R270" s="59" t="s">
        <v>4</v>
      </c>
      <c r="S270" s="59" t="s">
        <v>4</v>
      </c>
      <c r="T270" s="59" t="s">
        <v>4</v>
      </c>
      <c r="U270" s="59" t="s">
        <v>4</v>
      </c>
      <c r="V270" s="45">
        <f t="shared" si="47"/>
        <v>1</v>
      </c>
      <c r="W270" s="59" t="s">
        <v>4</v>
      </c>
      <c r="X270" s="59" t="s">
        <v>4</v>
      </c>
      <c r="Y270" s="59" t="s">
        <v>4</v>
      </c>
      <c r="Z270" s="59" t="s">
        <v>4</v>
      </c>
      <c r="AA270" s="59" t="s">
        <v>4</v>
      </c>
      <c r="AB270" s="59" t="s">
        <v>4</v>
      </c>
      <c r="AC270" s="45">
        <f t="shared" si="48"/>
        <v>1.000000000000002</v>
      </c>
      <c r="AD270" s="43" t="s">
        <v>4</v>
      </c>
      <c r="AE270" s="43" t="s">
        <v>4</v>
      </c>
      <c r="AF270" s="97">
        <f t="shared" si="49"/>
        <v>1</v>
      </c>
      <c r="AG270" s="44">
        <f t="shared" si="50"/>
        <v>1.0000000000000004</v>
      </c>
      <c r="AH270" s="55">
        <f t="shared" si="51"/>
        <v>0</v>
      </c>
      <c r="AI270" s="55">
        <f>COUNTIF('Score BD'!$M270:$P270,"no")</f>
        <v>0</v>
      </c>
      <c r="AJ270" s="55">
        <f t="shared" si="52"/>
        <v>0</v>
      </c>
      <c r="AK270" s="55">
        <f t="shared" si="53"/>
        <v>0</v>
      </c>
      <c r="AL270" s="55">
        <f t="shared" si="54"/>
        <v>0</v>
      </c>
      <c r="AM270" s="104" t="s">
        <v>585</v>
      </c>
      <c r="AN270" s="55"/>
      <c r="AO270" s="61"/>
      <c r="AP270" s="61"/>
      <c r="AQ270" s="59" t="str">
        <f>IFERROR(_xlfn.XLOOKUP(Tabla1[[#This Row],[Cedula agente]],Lista!$B$2:$B$97,Lista!$G$2:$G$97)," ")</f>
        <v>Luisa Fernanda Benavides Castrillon</v>
      </c>
      <c r="AR270" s="59" t="s">
        <v>162</v>
      </c>
      <c r="AS270" s="55" t="str">
        <f>IFERROR(_xlfn.XLOOKUP(Tabla1[[#This Row],[Cedula agente]],Lista!$B$2:$B$97,Lista!$F$2:$F$97)," ")</f>
        <v>John Sebastian Roncancio Avendaño</v>
      </c>
      <c r="AT270" s="99">
        <v>0.95</v>
      </c>
      <c r="AU270" s="200">
        <f>+WEEKNUM('Score BD'!$H270)-WEEKNUM(DATE(YEAR('Score BD'!$H270),MONTH('Score BD'!$H270),1))+1</f>
        <v>4</v>
      </c>
    </row>
    <row r="271" spans="1:47" ht="17.45" customHeight="1" x14ac:dyDescent="0.3">
      <c r="A271" s="49" t="str">
        <f t="shared" si="44"/>
        <v>Ministerio de Educación Nacional</v>
      </c>
      <c r="B271" s="50">
        <f>+IFERROR(COUNTIF($J$3:J271,J271)," ")</f>
        <v>10</v>
      </c>
      <c r="C271" s="54" t="str">
        <f>+'Score BD'!$J271&amp;'Score BD'!$B271</f>
        <v>Laura Ximena Sandoval Galindo10</v>
      </c>
      <c r="D271" s="91" t="s">
        <v>148</v>
      </c>
      <c r="E271" s="92" t="s">
        <v>208</v>
      </c>
      <c r="F271" s="92" t="s">
        <v>212</v>
      </c>
      <c r="G271" s="60" t="str">
        <f t="shared" si="45"/>
        <v>Noviembre</v>
      </c>
      <c r="H271" s="67">
        <v>45980</v>
      </c>
      <c r="I271" s="243">
        <v>45979</v>
      </c>
      <c r="J271" s="57" t="s">
        <v>201</v>
      </c>
      <c r="K271" s="54">
        <f>IFERROR(VLOOKUP('Score BD'!$J271,Lista!A:B,2,0)," ")</f>
        <v>1030678660</v>
      </c>
      <c r="L271" s="61" t="s">
        <v>518</v>
      </c>
      <c r="M271" s="59" t="s">
        <v>4</v>
      </c>
      <c r="N271" s="59" t="s">
        <v>4</v>
      </c>
      <c r="O271" s="59" t="s">
        <v>4</v>
      </c>
      <c r="P271" s="59" t="s">
        <v>4</v>
      </c>
      <c r="Q271" s="96">
        <f t="shared" si="46"/>
        <v>1</v>
      </c>
      <c r="R271" s="59" t="s">
        <v>4</v>
      </c>
      <c r="S271" s="59" t="s">
        <v>4</v>
      </c>
      <c r="T271" s="59" t="s">
        <v>4</v>
      </c>
      <c r="U271" s="59" t="s">
        <v>4</v>
      </c>
      <c r="V271" s="45">
        <f t="shared" si="47"/>
        <v>1</v>
      </c>
      <c r="W271" s="59" t="s">
        <v>4</v>
      </c>
      <c r="X271" s="59" t="s">
        <v>4</v>
      </c>
      <c r="Y271" s="59" t="s">
        <v>4</v>
      </c>
      <c r="Z271" s="59" t="s">
        <v>4</v>
      </c>
      <c r="AA271" s="59" t="s">
        <v>4</v>
      </c>
      <c r="AB271" s="59" t="s">
        <v>4</v>
      </c>
      <c r="AC271" s="45">
        <f t="shared" si="48"/>
        <v>1.000000000000002</v>
      </c>
      <c r="AD271" s="43" t="s">
        <v>4</v>
      </c>
      <c r="AE271" s="43" t="s">
        <v>4</v>
      </c>
      <c r="AF271" s="97">
        <f t="shared" si="49"/>
        <v>1</v>
      </c>
      <c r="AG271" s="44">
        <f t="shared" si="50"/>
        <v>1.0000000000000004</v>
      </c>
      <c r="AH271" s="55">
        <f t="shared" si="51"/>
        <v>0</v>
      </c>
      <c r="AI271" s="55">
        <f>COUNTIF('Score BD'!$M271:$P271,"no")</f>
        <v>0</v>
      </c>
      <c r="AJ271" s="55">
        <f t="shared" si="52"/>
        <v>0</v>
      </c>
      <c r="AK271" s="55">
        <f t="shared" si="53"/>
        <v>0</v>
      </c>
      <c r="AL271" s="55">
        <f t="shared" si="54"/>
        <v>0</v>
      </c>
      <c r="AM271" s="104" t="s">
        <v>585</v>
      </c>
      <c r="AN271" s="55"/>
      <c r="AO271" s="61"/>
      <c r="AP271" s="61"/>
      <c r="AQ271" s="59" t="str">
        <f>IFERROR(_xlfn.XLOOKUP(Tabla1[[#This Row],[Cedula agente]],Lista!$B$2:$B$97,Lista!$G$2:$G$97)," ")</f>
        <v>Luisa Fernanda Benavides Castrillon</v>
      </c>
      <c r="AR271" s="59" t="s">
        <v>162</v>
      </c>
      <c r="AS271" s="55" t="str">
        <f>IFERROR(_xlfn.XLOOKUP(Tabla1[[#This Row],[Cedula agente]],Lista!$B$2:$B$97,Lista!$F$2:$F$97)," ")</f>
        <v>John Sebastian Roncancio Avendaño</v>
      </c>
      <c r="AT271" s="99">
        <v>0.95</v>
      </c>
      <c r="AU271" s="200">
        <f>+WEEKNUM('Score BD'!$H271)-WEEKNUM(DATE(YEAR('Score BD'!$H271),MONTH('Score BD'!$H271),1))+1</f>
        <v>4</v>
      </c>
    </row>
    <row r="272" spans="1:47" ht="17.45" customHeight="1" x14ac:dyDescent="0.3">
      <c r="A272" s="49" t="str">
        <f t="shared" si="44"/>
        <v>Ministerio de Educación Nacional</v>
      </c>
      <c r="B272" s="50">
        <f>+IFERROR(COUNTIF($J$3:J272,J272)," ")</f>
        <v>19</v>
      </c>
      <c r="C272" s="54" t="str">
        <f>+'Score BD'!$J272&amp;'Score BD'!$B272</f>
        <v>Maira Alejandra Rodriguez Losada19</v>
      </c>
      <c r="D272" s="91" t="s">
        <v>148</v>
      </c>
      <c r="E272" s="92" t="s">
        <v>164</v>
      </c>
      <c r="F272" s="92" t="s">
        <v>212</v>
      </c>
      <c r="G272" s="60" t="str">
        <f t="shared" si="45"/>
        <v>Noviembre</v>
      </c>
      <c r="H272" s="67">
        <v>45980</v>
      </c>
      <c r="I272" s="243">
        <v>45979</v>
      </c>
      <c r="J272" s="57" t="s">
        <v>204</v>
      </c>
      <c r="K272" s="54">
        <f>IFERROR(VLOOKUP('Score BD'!$J272,Lista!A:B,2,0)," ")</f>
        <v>1075224344</v>
      </c>
      <c r="L272" s="61" t="s">
        <v>519</v>
      </c>
      <c r="M272" s="59" t="s">
        <v>4</v>
      </c>
      <c r="N272" s="59" t="s">
        <v>4</v>
      </c>
      <c r="O272" s="59" t="s">
        <v>4</v>
      </c>
      <c r="P272" s="59" t="s">
        <v>4</v>
      </c>
      <c r="Q272" s="96">
        <f t="shared" si="46"/>
        <v>1</v>
      </c>
      <c r="R272" s="59" t="s">
        <v>4</v>
      </c>
      <c r="S272" s="59" t="s">
        <v>4</v>
      </c>
      <c r="T272" s="59" t="s">
        <v>4</v>
      </c>
      <c r="U272" s="59" t="s">
        <v>4</v>
      </c>
      <c r="V272" s="45">
        <f t="shared" si="47"/>
        <v>1</v>
      </c>
      <c r="W272" s="59" t="s">
        <v>4</v>
      </c>
      <c r="X272" s="59" t="s">
        <v>4</v>
      </c>
      <c r="Y272" s="59" t="s">
        <v>4</v>
      </c>
      <c r="Z272" s="59" t="s">
        <v>4</v>
      </c>
      <c r="AA272" s="59" t="s">
        <v>4</v>
      </c>
      <c r="AB272" s="59" t="s">
        <v>4</v>
      </c>
      <c r="AC272" s="45">
        <f t="shared" si="48"/>
        <v>1.000000000000002</v>
      </c>
      <c r="AD272" s="43" t="s">
        <v>4</v>
      </c>
      <c r="AE272" s="43" t="s">
        <v>4</v>
      </c>
      <c r="AF272" s="97">
        <f t="shared" si="49"/>
        <v>1</v>
      </c>
      <c r="AG272" s="44">
        <f t="shared" si="50"/>
        <v>1.0000000000000004</v>
      </c>
      <c r="AH272" s="55">
        <f t="shared" si="51"/>
        <v>0</v>
      </c>
      <c r="AI272" s="55">
        <f>COUNTIF('Score BD'!$M272:$P272,"no")</f>
        <v>0</v>
      </c>
      <c r="AJ272" s="55">
        <f t="shared" si="52"/>
        <v>0</v>
      </c>
      <c r="AK272" s="55">
        <f t="shared" si="53"/>
        <v>0</v>
      </c>
      <c r="AL272" s="55">
        <f t="shared" si="54"/>
        <v>0</v>
      </c>
      <c r="AM272" s="104" t="s">
        <v>585</v>
      </c>
      <c r="AN272" s="55"/>
      <c r="AO272" s="61"/>
      <c r="AP272" s="61"/>
      <c r="AQ272" s="59" t="str">
        <f>IFERROR(_xlfn.XLOOKUP(Tabla1[[#This Row],[Cedula agente]],Lista!$B$2:$B$97,Lista!$G$2:$G$97)," ")</f>
        <v>Luisa Fernanda Benavides Castrillon</v>
      </c>
      <c r="AR272" s="59" t="s">
        <v>162</v>
      </c>
      <c r="AS272" s="55" t="str">
        <f>IFERROR(_xlfn.XLOOKUP(Tabla1[[#This Row],[Cedula agente]],Lista!$B$2:$B$97,Lista!$F$2:$F$97)," ")</f>
        <v>John Sebastian Roncancio Avendaño</v>
      </c>
      <c r="AT272" s="99">
        <v>0.95</v>
      </c>
      <c r="AU272" s="200">
        <f>+WEEKNUM('Score BD'!$H272)-WEEKNUM(DATE(YEAR('Score BD'!$H272),MONTH('Score BD'!$H272),1))+1</f>
        <v>4</v>
      </c>
    </row>
    <row r="273" spans="1:47" ht="17.45" customHeight="1" x14ac:dyDescent="0.3">
      <c r="A273" s="49" t="str">
        <f t="shared" si="44"/>
        <v>Ministerio de Educación Nacional</v>
      </c>
      <c r="B273" s="50">
        <f>+IFERROR(COUNTIF($J$3:J273,J273)," ")</f>
        <v>20</v>
      </c>
      <c r="C273" s="54" t="str">
        <f>+'Score BD'!$J273&amp;'Score BD'!$B273</f>
        <v>Maira Alejandra Rodriguez Losada20</v>
      </c>
      <c r="D273" s="91" t="s">
        <v>148</v>
      </c>
      <c r="E273" s="92" t="s">
        <v>164</v>
      </c>
      <c r="F273" s="92" t="s">
        <v>212</v>
      </c>
      <c r="G273" s="60" t="str">
        <f t="shared" si="45"/>
        <v>Noviembre</v>
      </c>
      <c r="H273" s="67">
        <v>45980</v>
      </c>
      <c r="I273" s="243">
        <v>45979</v>
      </c>
      <c r="J273" s="57" t="s">
        <v>204</v>
      </c>
      <c r="K273" s="54">
        <f>IFERROR(VLOOKUP('Score BD'!$J273,Lista!A:B,2,0)," ")</f>
        <v>1075224344</v>
      </c>
      <c r="L273" s="61" t="s">
        <v>520</v>
      </c>
      <c r="M273" s="59" t="s">
        <v>4</v>
      </c>
      <c r="N273" s="59" t="s">
        <v>4</v>
      </c>
      <c r="O273" s="59" t="s">
        <v>4</v>
      </c>
      <c r="P273" s="59" t="s">
        <v>4</v>
      </c>
      <c r="Q273" s="96">
        <f t="shared" si="46"/>
        <v>1</v>
      </c>
      <c r="R273" s="59" t="s">
        <v>4</v>
      </c>
      <c r="S273" s="59" t="s">
        <v>4</v>
      </c>
      <c r="T273" s="59" t="s">
        <v>4</v>
      </c>
      <c r="U273" s="59" t="s">
        <v>4</v>
      </c>
      <c r="V273" s="45">
        <f t="shared" si="47"/>
        <v>1</v>
      </c>
      <c r="W273" s="59" t="s">
        <v>4</v>
      </c>
      <c r="X273" s="59" t="s">
        <v>4</v>
      </c>
      <c r="Y273" s="59" t="s">
        <v>4</v>
      </c>
      <c r="Z273" s="59" t="s">
        <v>4</v>
      </c>
      <c r="AA273" s="59" t="s">
        <v>4</v>
      </c>
      <c r="AB273" s="59" t="s">
        <v>4</v>
      </c>
      <c r="AC273" s="45">
        <f t="shared" si="48"/>
        <v>1.000000000000002</v>
      </c>
      <c r="AD273" s="43" t="s">
        <v>4</v>
      </c>
      <c r="AE273" s="43" t="s">
        <v>4</v>
      </c>
      <c r="AF273" s="97">
        <f t="shared" si="49"/>
        <v>1</v>
      </c>
      <c r="AG273" s="44">
        <f t="shared" si="50"/>
        <v>1.0000000000000004</v>
      </c>
      <c r="AH273" s="55">
        <f t="shared" si="51"/>
        <v>0</v>
      </c>
      <c r="AI273" s="55">
        <f>COUNTIF('Score BD'!$M273:$P273,"no")</f>
        <v>0</v>
      </c>
      <c r="AJ273" s="55">
        <f t="shared" si="52"/>
        <v>0</v>
      </c>
      <c r="AK273" s="55">
        <f t="shared" si="53"/>
        <v>0</v>
      </c>
      <c r="AL273" s="55">
        <f t="shared" si="54"/>
        <v>0</v>
      </c>
      <c r="AM273" s="104" t="s">
        <v>585</v>
      </c>
      <c r="AN273" s="55"/>
      <c r="AO273" s="61"/>
      <c r="AP273" s="61"/>
      <c r="AQ273" s="59" t="str">
        <f>IFERROR(_xlfn.XLOOKUP(Tabla1[[#This Row],[Cedula agente]],Lista!$B$2:$B$97,Lista!$G$2:$G$97)," ")</f>
        <v>Luisa Fernanda Benavides Castrillon</v>
      </c>
      <c r="AR273" s="59" t="s">
        <v>162</v>
      </c>
      <c r="AS273" s="55" t="str">
        <f>IFERROR(_xlfn.XLOOKUP(Tabla1[[#This Row],[Cedula agente]],Lista!$B$2:$B$97,Lista!$F$2:$F$97)," ")</f>
        <v>John Sebastian Roncancio Avendaño</v>
      </c>
      <c r="AT273" s="99">
        <v>0.95</v>
      </c>
      <c r="AU273" s="200">
        <f>+WEEKNUM('Score BD'!$H273)-WEEKNUM(DATE(YEAR('Score BD'!$H273),MONTH('Score BD'!$H273),1))+1</f>
        <v>4</v>
      </c>
    </row>
    <row r="274" spans="1:47" ht="17.45" customHeight="1" x14ac:dyDescent="0.3">
      <c r="A274" s="49" t="str">
        <f t="shared" si="44"/>
        <v>Ministerio de Educación Nacional</v>
      </c>
      <c r="B274" s="50">
        <f>+IFERROR(COUNTIF($J$3:J274,J274)," ")</f>
        <v>19</v>
      </c>
      <c r="C274" s="54" t="str">
        <f>+'Score BD'!$J274&amp;'Score BD'!$B274</f>
        <v>María José Uribe Medina19</v>
      </c>
      <c r="D274" s="91" t="s">
        <v>148</v>
      </c>
      <c r="E274" s="92" t="s">
        <v>164</v>
      </c>
      <c r="F274" s="92" t="s">
        <v>212</v>
      </c>
      <c r="G274" s="60" t="str">
        <f t="shared" si="45"/>
        <v>Noviembre</v>
      </c>
      <c r="H274" s="67">
        <v>45980</v>
      </c>
      <c r="I274" s="243">
        <v>45979</v>
      </c>
      <c r="J274" s="57" t="s">
        <v>205</v>
      </c>
      <c r="K274" s="54">
        <f>IFERROR(VLOOKUP('Score BD'!$J274,Lista!A:B,2,0)," ")</f>
        <v>1121919150</v>
      </c>
      <c r="L274" s="61" t="s">
        <v>521</v>
      </c>
      <c r="M274" s="59" t="s">
        <v>4</v>
      </c>
      <c r="N274" s="59" t="s">
        <v>4</v>
      </c>
      <c r="O274" s="59" t="s">
        <v>4</v>
      </c>
      <c r="P274" s="59" t="s">
        <v>4</v>
      </c>
      <c r="Q274" s="96">
        <f t="shared" si="46"/>
        <v>1</v>
      </c>
      <c r="R274" s="59" t="s">
        <v>4</v>
      </c>
      <c r="S274" s="59" t="s">
        <v>4</v>
      </c>
      <c r="T274" s="59" t="s">
        <v>4</v>
      </c>
      <c r="U274" s="59" t="s">
        <v>4</v>
      </c>
      <c r="V274" s="45">
        <f t="shared" si="47"/>
        <v>1</v>
      </c>
      <c r="W274" s="59" t="s">
        <v>4</v>
      </c>
      <c r="X274" s="59" t="s">
        <v>4</v>
      </c>
      <c r="Y274" s="59" t="s">
        <v>4</v>
      </c>
      <c r="Z274" s="59" t="s">
        <v>4</v>
      </c>
      <c r="AA274" s="59" t="s">
        <v>4</v>
      </c>
      <c r="AB274" s="59" t="s">
        <v>4</v>
      </c>
      <c r="AC274" s="45">
        <f t="shared" si="48"/>
        <v>1.000000000000002</v>
      </c>
      <c r="AD274" s="43" t="s">
        <v>4</v>
      </c>
      <c r="AE274" s="43" t="s">
        <v>4</v>
      </c>
      <c r="AF274" s="97">
        <f t="shared" si="49"/>
        <v>1</v>
      </c>
      <c r="AG274" s="44">
        <f t="shared" si="50"/>
        <v>1.0000000000000004</v>
      </c>
      <c r="AH274" s="55">
        <f t="shared" si="51"/>
        <v>0</v>
      </c>
      <c r="AI274" s="55">
        <f>COUNTIF('Score BD'!$M274:$P274,"no")</f>
        <v>0</v>
      </c>
      <c r="AJ274" s="55">
        <f t="shared" si="52"/>
        <v>0</v>
      </c>
      <c r="AK274" s="55">
        <f t="shared" si="53"/>
        <v>0</v>
      </c>
      <c r="AL274" s="55">
        <f t="shared" si="54"/>
        <v>0</v>
      </c>
      <c r="AM274" s="104" t="s">
        <v>585</v>
      </c>
      <c r="AN274" s="55"/>
      <c r="AO274" s="61"/>
      <c r="AP274" s="61"/>
      <c r="AQ274" s="59" t="str">
        <f>IFERROR(_xlfn.XLOOKUP(Tabla1[[#This Row],[Cedula agente]],Lista!$B$2:$B$97,Lista!$G$2:$G$97)," ")</f>
        <v>Luisa Fernanda Benavides Castrillon</v>
      </c>
      <c r="AR274" s="59" t="s">
        <v>162</v>
      </c>
      <c r="AS274" s="55" t="str">
        <f>IFERROR(_xlfn.XLOOKUP(Tabla1[[#This Row],[Cedula agente]],Lista!$B$2:$B$97,Lista!$F$2:$F$97)," ")</f>
        <v>John Sebastian Roncancio Avendaño</v>
      </c>
      <c r="AT274" s="99">
        <v>0.95</v>
      </c>
      <c r="AU274" s="200">
        <f>+WEEKNUM('Score BD'!$H274)-WEEKNUM(DATE(YEAR('Score BD'!$H274),MONTH('Score BD'!$H274),1))+1</f>
        <v>4</v>
      </c>
    </row>
    <row r="275" spans="1:47" ht="17.45" customHeight="1" x14ac:dyDescent="0.3">
      <c r="A275" s="49" t="str">
        <f t="shared" si="44"/>
        <v>Ministerio de Educación Nacional</v>
      </c>
      <c r="B275" s="50">
        <f>+IFERROR(COUNTIF($J$3:J275,J275)," ")</f>
        <v>20</v>
      </c>
      <c r="C275" s="54" t="str">
        <f>+'Score BD'!$J275&amp;'Score BD'!$B275</f>
        <v>María José Uribe Medina20</v>
      </c>
      <c r="D275" s="91" t="s">
        <v>148</v>
      </c>
      <c r="E275" s="92" t="s">
        <v>164</v>
      </c>
      <c r="F275" s="92" t="s">
        <v>212</v>
      </c>
      <c r="G275" s="60" t="str">
        <f t="shared" si="45"/>
        <v>Noviembre</v>
      </c>
      <c r="H275" s="67">
        <v>45980</v>
      </c>
      <c r="I275" s="243">
        <v>45979</v>
      </c>
      <c r="J275" s="57" t="s">
        <v>205</v>
      </c>
      <c r="K275" s="54">
        <f>IFERROR(VLOOKUP('Score BD'!$J275,Lista!A:B,2,0)," ")</f>
        <v>1121919150</v>
      </c>
      <c r="L275" s="61" t="s">
        <v>522</v>
      </c>
      <c r="M275" s="59" t="s">
        <v>4</v>
      </c>
      <c r="N275" s="59" t="s">
        <v>4</v>
      </c>
      <c r="O275" s="59" t="s">
        <v>4</v>
      </c>
      <c r="P275" s="59" t="s">
        <v>4</v>
      </c>
      <c r="Q275" s="96">
        <f t="shared" si="46"/>
        <v>1</v>
      </c>
      <c r="R275" s="59" t="s">
        <v>4</v>
      </c>
      <c r="S275" s="59" t="s">
        <v>4</v>
      </c>
      <c r="T275" s="59" t="s">
        <v>4</v>
      </c>
      <c r="U275" s="59" t="s">
        <v>4</v>
      </c>
      <c r="V275" s="45">
        <f t="shared" si="47"/>
        <v>1</v>
      </c>
      <c r="W275" s="59" t="s">
        <v>4</v>
      </c>
      <c r="X275" s="59" t="s">
        <v>4</v>
      </c>
      <c r="Y275" s="59" t="s">
        <v>4</v>
      </c>
      <c r="Z275" s="59" t="s">
        <v>4</v>
      </c>
      <c r="AA275" s="59" t="s">
        <v>4</v>
      </c>
      <c r="AB275" s="59" t="s">
        <v>4</v>
      </c>
      <c r="AC275" s="45">
        <f t="shared" si="48"/>
        <v>1.000000000000002</v>
      </c>
      <c r="AD275" s="43" t="s">
        <v>4</v>
      </c>
      <c r="AE275" s="43" t="s">
        <v>4</v>
      </c>
      <c r="AF275" s="97">
        <f t="shared" si="49"/>
        <v>1</v>
      </c>
      <c r="AG275" s="44">
        <f t="shared" si="50"/>
        <v>1.0000000000000004</v>
      </c>
      <c r="AH275" s="55">
        <f t="shared" si="51"/>
        <v>0</v>
      </c>
      <c r="AI275" s="55">
        <f>COUNTIF('Score BD'!$M275:$P275,"no")</f>
        <v>0</v>
      </c>
      <c r="AJ275" s="55">
        <f t="shared" si="52"/>
        <v>0</v>
      </c>
      <c r="AK275" s="55">
        <f t="shared" si="53"/>
        <v>0</v>
      </c>
      <c r="AL275" s="55">
        <f t="shared" si="54"/>
        <v>0</v>
      </c>
      <c r="AM275" s="104" t="s">
        <v>585</v>
      </c>
      <c r="AN275" s="55"/>
      <c r="AO275" s="61"/>
      <c r="AP275" s="61"/>
      <c r="AQ275" s="59" t="str">
        <f>IFERROR(_xlfn.XLOOKUP(Tabla1[[#This Row],[Cedula agente]],Lista!$B$2:$B$97,Lista!$G$2:$G$97)," ")</f>
        <v>Luisa Fernanda Benavides Castrillon</v>
      </c>
      <c r="AR275" s="59" t="s">
        <v>162</v>
      </c>
      <c r="AS275" s="55" t="str">
        <f>IFERROR(_xlfn.XLOOKUP(Tabla1[[#This Row],[Cedula agente]],Lista!$B$2:$B$97,Lista!$F$2:$F$97)," ")</f>
        <v>John Sebastian Roncancio Avendaño</v>
      </c>
      <c r="AT275" s="99">
        <v>0.95</v>
      </c>
      <c r="AU275" s="200">
        <f>+WEEKNUM('Score BD'!$H275)-WEEKNUM(DATE(YEAR('Score BD'!$H275),MONTH('Score BD'!$H275),1))+1</f>
        <v>4</v>
      </c>
    </row>
    <row r="276" spans="1:47" ht="17.45" customHeight="1" x14ac:dyDescent="0.3">
      <c r="A276" s="49" t="str">
        <f t="shared" si="44"/>
        <v>Ministerio de Educación Nacional</v>
      </c>
      <c r="B276" s="50">
        <f>+IFERROR(COUNTIF($J$3:J276,J276)," ")</f>
        <v>19</v>
      </c>
      <c r="C276" s="54" t="str">
        <f>+'Score BD'!$J276&amp;'Score BD'!$B276</f>
        <v>Natalia Cañón Betancourt19</v>
      </c>
      <c r="D276" s="91" t="s">
        <v>148</v>
      </c>
      <c r="E276" s="92" t="s">
        <v>164</v>
      </c>
      <c r="F276" s="92" t="s">
        <v>212</v>
      </c>
      <c r="G276" s="60" t="str">
        <f t="shared" si="45"/>
        <v>Noviembre</v>
      </c>
      <c r="H276" s="67">
        <v>45980</v>
      </c>
      <c r="I276" s="243">
        <v>45979</v>
      </c>
      <c r="J276" s="57" t="s">
        <v>181</v>
      </c>
      <c r="K276" s="54">
        <f>IFERROR(VLOOKUP('Score BD'!$J276,Lista!A:B,2,0)," ")</f>
        <v>1000383417</v>
      </c>
      <c r="L276" s="61" t="s">
        <v>523</v>
      </c>
      <c r="M276" s="59" t="s">
        <v>4</v>
      </c>
      <c r="N276" s="59" t="s">
        <v>4</v>
      </c>
      <c r="O276" s="59" t="s">
        <v>4</v>
      </c>
      <c r="P276" s="59" t="s">
        <v>4</v>
      </c>
      <c r="Q276" s="96">
        <f t="shared" si="46"/>
        <v>1</v>
      </c>
      <c r="R276" s="59" t="s">
        <v>4</v>
      </c>
      <c r="S276" s="59" t="s">
        <v>4</v>
      </c>
      <c r="T276" s="59" t="s">
        <v>4</v>
      </c>
      <c r="U276" s="59" t="s">
        <v>4</v>
      </c>
      <c r="V276" s="45">
        <f t="shared" si="47"/>
        <v>1</v>
      </c>
      <c r="W276" s="59" t="s">
        <v>4</v>
      </c>
      <c r="X276" s="59" t="s">
        <v>4</v>
      </c>
      <c r="Y276" s="59" t="s">
        <v>4</v>
      </c>
      <c r="Z276" s="59" t="s">
        <v>4</v>
      </c>
      <c r="AA276" s="59" t="s">
        <v>4</v>
      </c>
      <c r="AB276" s="59" t="s">
        <v>4</v>
      </c>
      <c r="AC276" s="45">
        <f t="shared" si="48"/>
        <v>1.000000000000002</v>
      </c>
      <c r="AD276" s="43" t="s">
        <v>4</v>
      </c>
      <c r="AE276" s="43" t="s">
        <v>4</v>
      </c>
      <c r="AF276" s="97">
        <f t="shared" si="49"/>
        <v>1</v>
      </c>
      <c r="AG276" s="44">
        <f t="shared" si="50"/>
        <v>1.0000000000000004</v>
      </c>
      <c r="AH276" s="55">
        <f t="shared" si="51"/>
        <v>0</v>
      </c>
      <c r="AI276" s="55">
        <f>COUNTIF('Score BD'!$M276:$P276,"no")</f>
        <v>0</v>
      </c>
      <c r="AJ276" s="55">
        <f t="shared" si="52"/>
        <v>0</v>
      </c>
      <c r="AK276" s="55">
        <f t="shared" si="53"/>
        <v>0</v>
      </c>
      <c r="AL276" s="55">
        <f t="shared" si="54"/>
        <v>0</v>
      </c>
      <c r="AM276" s="104" t="s">
        <v>585</v>
      </c>
      <c r="AN276" s="55"/>
      <c r="AO276" s="61"/>
      <c r="AP276" s="61"/>
      <c r="AQ276" s="59" t="str">
        <f>IFERROR(_xlfn.XLOOKUP(Tabla1[[#This Row],[Cedula agente]],Lista!$B$2:$B$97,Lista!$G$2:$G$97)," ")</f>
        <v>Luisa Fernanda Benavides Castrillon</v>
      </c>
      <c r="AR276" s="59" t="s">
        <v>162</v>
      </c>
      <c r="AS276" s="55" t="str">
        <f>IFERROR(_xlfn.XLOOKUP(Tabla1[[#This Row],[Cedula agente]],Lista!$B$2:$B$97,Lista!$F$2:$F$97)," ")</f>
        <v>John Sebastian Roncancio Avendaño</v>
      </c>
      <c r="AT276" s="99">
        <v>0.95</v>
      </c>
      <c r="AU276" s="200">
        <f>+WEEKNUM('Score BD'!$H276)-WEEKNUM(DATE(YEAR('Score BD'!$H276),MONTH('Score BD'!$H276),1))+1</f>
        <v>4</v>
      </c>
    </row>
    <row r="277" spans="1:47" ht="17.45" customHeight="1" x14ac:dyDescent="0.3">
      <c r="A277" s="49" t="str">
        <f t="shared" si="44"/>
        <v>Ministerio de Educación Nacional</v>
      </c>
      <c r="B277" s="50">
        <f>+IFERROR(COUNTIF($J$3:J277,J277)," ")</f>
        <v>20</v>
      </c>
      <c r="C277" s="54" t="str">
        <f>+'Score BD'!$J277&amp;'Score BD'!$B277</f>
        <v>Natalia Cañón Betancourt20</v>
      </c>
      <c r="D277" s="91" t="s">
        <v>148</v>
      </c>
      <c r="E277" s="92" t="s">
        <v>164</v>
      </c>
      <c r="F277" s="92" t="s">
        <v>212</v>
      </c>
      <c r="G277" s="60" t="str">
        <f t="shared" si="45"/>
        <v>Noviembre</v>
      </c>
      <c r="H277" s="67">
        <v>45980</v>
      </c>
      <c r="I277" s="243">
        <v>45979</v>
      </c>
      <c r="J277" s="57" t="s">
        <v>181</v>
      </c>
      <c r="K277" s="54">
        <f>IFERROR(VLOOKUP('Score BD'!$J277,Lista!A:B,2,0)," ")</f>
        <v>1000383417</v>
      </c>
      <c r="L277" s="61" t="s">
        <v>524</v>
      </c>
      <c r="M277" s="59" t="s">
        <v>4</v>
      </c>
      <c r="N277" s="59" t="s">
        <v>4</v>
      </c>
      <c r="O277" s="59" t="s">
        <v>4</v>
      </c>
      <c r="P277" s="59" t="s">
        <v>4</v>
      </c>
      <c r="Q277" s="96">
        <f t="shared" si="46"/>
        <v>1</v>
      </c>
      <c r="R277" s="59" t="s">
        <v>4</v>
      </c>
      <c r="S277" s="59" t="s">
        <v>4</v>
      </c>
      <c r="T277" s="59" t="s">
        <v>4</v>
      </c>
      <c r="U277" s="59" t="s">
        <v>4</v>
      </c>
      <c r="V277" s="45">
        <f t="shared" si="47"/>
        <v>1</v>
      </c>
      <c r="W277" s="59" t="s">
        <v>4</v>
      </c>
      <c r="X277" s="59" t="s">
        <v>4</v>
      </c>
      <c r="Y277" s="59" t="s">
        <v>4</v>
      </c>
      <c r="Z277" s="59" t="s">
        <v>4</v>
      </c>
      <c r="AA277" s="59" t="s">
        <v>4</v>
      </c>
      <c r="AB277" s="59" t="s">
        <v>4</v>
      </c>
      <c r="AC277" s="45">
        <f t="shared" si="48"/>
        <v>1.000000000000002</v>
      </c>
      <c r="AD277" s="43" t="s">
        <v>4</v>
      </c>
      <c r="AE277" s="43" t="s">
        <v>4</v>
      </c>
      <c r="AF277" s="97">
        <f t="shared" si="49"/>
        <v>1</v>
      </c>
      <c r="AG277" s="44">
        <f t="shared" si="50"/>
        <v>1.0000000000000004</v>
      </c>
      <c r="AH277" s="55">
        <f t="shared" si="51"/>
        <v>0</v>
      </c>
      <c r="AI277" s="55">
        <f>COUNTIF('Score BD'!$M277:$P277,"no")</f>
        <v>0</v>
      </c>
      <c r="AJ277" s="55">
        <f t="shared" si="52"/>
        <v>0</v>
      </c>
      <c r="AK277" s="55">
        <f t="shared" si="53"/>
        <v>0</v>
      </c>
      <c r="AL277" s="55">
        <f t="shared" si="54"/>
        <v>0</v>
      </c>
      <c r="AM277" s="104" t="s">
        <v>585</v>
      </c>
      <c r="AN277" s="55"/>
      <c r="AO277" s="61"/>
      <c r="AP277" s="61"/>
      <c r="AQ277" s="59" t="str">
        <f>IFERROR(_xlfn.XLOOKUP(Tabla1[[#This Row],[Cedula agente]],Lista!$B$2:$B$97,Lista!$G$2:$G$97)," ")</f>
        <v>Luisa Fernanda Benavides Castrillon</v>
      </c>
      <c r="AR277" s="59" t="s">
        <v>162</v>
      </c>
      <c r="AS277" s="55" t="str">
        <f>IFERROR(_xlfn.XLOOKUP(Tabla1[[#This Row],[Cedula agente]],Lista!$B$2:$B$97,Lista!$F$2:$F$97)," ")</f>
        <v>John Sebastian Roncancio Avendaño</v>
      </c>
      <c r="AT277" s="99">
        <v>0.95</v>
      </c>
      <c r="AU277" s="200">
        <f>+WEEKNUM('Score BD'!$H277)-WEEKNUM(DATE(YEAR('Score BD'!$H277),MONTH('Score BD'!$H277),1))+1</f>
        <v>4</v>
      </c>
    </row>
    <row r="278" spans="1:47" ht="17.45" customHeight="1" x14ac:dyDescent="0.3">
      <c r="A278" s="49" t="str">
        <f t="shared" si="44"/>
        <v>Ministerio de Educación Nacional</v>
      </c>
      <c r="B278" s="50">
        <f>+IFERROR(COUNTIF($J$3:J278,J278)," ")</f>
        <v>10</v>
      </c>
      <c r="C278" s="54" t="str">
        <f>+'Score BD'!$J278&amp;'Score BD'!$B278</f>
        <v>Quira Alejandra Herrera Camelo10</v>
      </c>
      <c r="D278" s="91" t="s">
        <v>148</v>
      </c>
      <c r="E278" s="92" t="s">
        <v>208</v>
      </c>
      <c r="F278" s="92" t="s">
        <v>212</v>
      </c>
      <c r="G278" s="60" t="str">
        <f t="shared" si="45"/>
        <v>Noviembre</v>
      </c>
      <c r="H278" s="67">
        <v>45980</v>
      </c>
      <c r="I278" s="243">
        <v>45979</v>
      </c>
      <c r="J278" s="57" t="s">
        <v>182</v>
      </c>
      <c r="K278" s="54">
        <f>IFERROR(VLOOKUP('Score BD'!$J278,Lista!A:B,2,0)," ")</f>
        <v>1010214168</v>
      </c>
      <c r="L278" s="61" t="s">
        <v>525</v>
      </c>
      <c r="M278" s="59" t="s">
        <v>4</v>
      </c>
      <c r="N278" s="59" t="s">
        <v>4</v>
      </c>
      <c r="O278" s="59" t="s">
        <v>4</v>
      </c>
      <c r="P278" s="59" t="s">
        <v>4</v>
      </c>
      <c r="Q278" s="96">
        <f t="shared" si="46"/>
        <v>1</v>
      </c>
      <c r="R278" s="59" t="s">
        <v>4</v>
      </c>
      <c r="S278" s="59" t="s">
        <v>4</v>
      </c>
      <c r="T278" s="59" t="s">
        <v>4</v>
      </c>
      <c r="U278" s="59" t="s">
        <v>4</v>
      </c>
      <c r="V278" s="45">
        <f t="shared" si="47"/>
        <v>1</v>
      </c>
      <c r="W278" s="59" t="s">
        <v>4</v>
      </c>
      <c r="X278" s="59" t="s">
        <v>4</v>
      </c>
      <c r="Y278" s="59" t="s">
        <v>4</v>
      </c>
      <c r="Z278" s="59" t="s">
        <v>4</v>
      </c>
      <c r="AA278" s="59" t="s">
        <v>4</v>
      </c>
      <c r="AB278" s="59" t="s">
        <v>4</v>
      </c>
      <c r="AC278" s="45">
        <f t="shared" si="48"/>
        <v>1.000000000000002</v>
      </c>
      <c r="AD278" s="43" t="s">
        <v>4</v>
      </c>
      <c r="AE278" s="43" t="s">
        <v>4</v>
      </c>
      <c r="AF278" s="97">
        <f t="shared" si="49"/>
        <v>1</v>
      </c>
      <c r="AG278" s="44">
        <f t="shared" si="50"/>
        <v>1.0000000000000004</v>
      </c>
      <c r="AH278" s="55">
        <f t="shared" si="51"/>
        <v>0</v>
      </c>
      <c r="AI278" s="55">
        <f>COUNTIF('Score BD'!$M278:$P278,"no")</f>
        <v>0</v>
      </c>
      <c r="AJ278" s="55">
        <f t="shared" si="52"/>
        <v>0</v>
      </c>
      <c r="AK278" s="55">
        <f t="shared" si="53"/>
        <v>0</v>
      </c>
      <c r="AL278" s="55">
        <f t="shared" si="54"/>
        <v>0</v>
      </c>
      <c r="AM278" s="104" t="s">
        <v>585</v>
      </c>
      <c r="AN278" s="55"/>
      <c r="AO278" s="61"/>
      <c r="AP278" s="61"/>
      <c r="AQ278" s="59" t="str">
        <f>IFERROR(_xlfn.XLOOKUP(Tabla1[[#This Row],[Cedula agente]],Lista!$B$2:$B$97,Lista!$G$2:$G$97)," ")</f>
        <v>Luisa Fernanda Benavides Castrillon</v>
      </c>
      <c r="AR278" s="59" t="s">
        <v>162</v>
      </c>
      <c r="AS278" s="55" t="str">
        <f>IFERROR(_xlfn.XLOOKUP(Tabla1[[#This Row],[Cedula agente]],Lista!$B$2:$B$97,Lista!$F$2:$F$97)," ")</f>
        <v>John Sebastian Roncancio Avendaño</v>
      </c>
      <c r="AT278" s="99">
        <v>0.95</v>
      </c>
      <c r="AU278" s="200">
        <f>+WEEKNUM('Score BD'!$H278)-WEEKNUM(DATE(YEAR('Score BD'!$H278),MONTH('Score BD'!$H278),1))+1</f>
        <v>4</v>
      </c>
    </row>
    <row r="279" spans="1:47" ht="17.45" customHeight="1" x14ac:dyDescent="0.3">
      <c r="A279" s="49" t="str">
        <f t="shared" si="44"/>
        <v>Ministerio de Educación Nacional</v>
      </c>
      <c r="B279" s="50">
        <f>+IFERROR(COUNTIF($J$3:J279,J279)," ")</f>
        <v>11</v>
      </c>
      <c r="C279" s="54" t="str">
        <f>+'Score BD'!$J279&amp;'Score BD'!$B279</f>
        <v>Valentina Castillo Rondón11</v>
      </c>
      <c r="D279" s="91" t="s">
        <v>148</v>
      </c>
      <c r="E279" s="92" t="s">
        <v>165</v>
      </c>
      <c r="F279" s="92" t="s">
        <v>212</v>
      </c>
      <c r="G279" s="60" t="str">
        <f t="shared" si="45"/>
        <v>Noviembre</v>
      </c>
      <c r="H279" s="67">
        <v>45980</v>
      </c>
      <c r="I279" s="243">
        <v>45979</v>
      </c>
      <c r="J279" s="57" t="s">
        <v>183</v>
      </c>
      <c r="K279" s="54">
        <f>IFERROR(VLOOKUP('Score BD'!$J279,Lista!A:B,2,0)," ")</f>
        <v>1121950095</v>
      </c>
      <c r="L279" s="61" t="s">
        <v>526</v>
      </c>
      <c r="M279" s="59" t="s">
        <v>4</v>
      </c>
      <c r="N279" s="59" t="s">
        <v>4</v>
      </c>
      <c r="O279" s="59" t="s">
        <v>4</v>
      </c>
      <c r="P279" s="59" t="s">
        <v>4</v>
      </c>
      <c r="Q279" s="96">
        <f t="shared" si="46"/>
        <v>1</v>
      </c>
      <c r="R279" s="59" t="s">
        <v>4</v>
      </c>
      <c r="S279" s="59" t="s">
        <v>4</v>
      </c>
      <c r="T279" s="59" t="s">
        <v>4</v>
      </c>
      <c r="U279" s="59" t="s">
        <v>4</v>
      </c>
      <c r="V279" s="45">
        <f t="shared" si="47"/>
        <v>1</v>
      </c>
      <c r="W279" s="59" t="s">
        <v>4</v>
      </c>
      <c r="X279" s="59" t="s">
        <v>4</v>
      </c>
      <c r="Y279" s="59" t="s">
        <v>4</v>
      </c>
      <c r="Z279" s="59" t="s">
        <v>4</v>
      </c>
      <c r="AA279" s="59" t="s">
        <v>4</v>
      </c>
      <c r="AB279" s="59" t="s">
        <v>4</v>
      </c>
      <c r="AC279" s="45">
        <f t="shared" si="48"/>
        <v>1.000000000000002</v>
      </c>
      <c r="AD279" s="43" t="s">
        <v>4</v>
      </c>
      <c r="AE279" s="43" t="s">
        <v>4</v>
      </c>
      <c r="AF279" s="97">
        <f t="shared" si="49"/>
        <v>1</v>
      </c>
      <c r="AG279" s="44">
        <f t="shared" si="50"/>
        <v>1.0000000000000004</v>
      </c>
      <c r="AH279" s="55">
        <f t="shared" si="51"/>
        <v>0</v>
      </c>
      <c r="AI279" s="55">
        <f>COUNTIF('Score BD'!$M279:$P279,"no")</f>
        <v>0</v>
      </c>
      <c r="AJ279" s="55">
        <f t="shared" si="52"/>
        <v>0</v>
      </c>
      <c r="AK279" s="55">
        <f t="shared" si="53"/>
        <v>0</v>
      </c>
      <c r="AL279" s="55">
        <f t="shared" si="54"/>
        <v>0</v>
      </c>
      <c r="AM279" s="104" t="s">
        <v>585</v>
      </c>
      <c r="AN279" s="55"/>
      <c r="AO279" s="61"/>
      <c r="AP279" s="61"/>
      <c r="AQ279" s="59" t="str">
        <f>IFERROR(_xlfn.XLOOKUP(Tabla1[[#This Row],[Cedula agente]],Lista!$B$2:$B$97,Lista!$G$2:$G$97)," ")</f>
        <v>Luisa Fernanda Benavides Castrillon</v>
      </c>
      <c r="AR279" s="59" t="s">
        <v>162</v>
      </c>
      <c r="AS279" s="55" t="str">
        <f>IFERROR(_xlfn.XLOOKUP(Tabla1[[#This Row],[Cedula agente]],Lista!$B$2:$B$97,Lista!$F$2:$F$97)," ")</f>
        <v>John Sebastian Roncancio Avendaño</v>
      </c>
      <c r="AT279" s="99">
        <v>0.95</v>
      </c>
      <c r="AU279" s="200">
        <f>+WEEKNUM('Score BD'!$H279)-WEEKNUM(DATE(YEAR('Score BD'!$H279),MONTH('Score BD'!$H279),1))+1</f>
        <v>4</v>
      </c>
    </row>
    <row r="280" spans="1:47" ht="17.45" customHeight="1" x14ac:dyDescent="0.3">
      <c r="A280" s="49" t="str">
        <f t="shared" si="44"/>
        <v>Ministerio de Educación Nacional</v>
      </c>
      <c r="B280" s="50">
        <f>+IFERROR(COUNTIF($J$3:J280,J280)," ")</f>
        <v>13</v>
      </c>
      <c r="C280" s="54" t="str">
        <f>+'Score BD'!$J280&amp;'Score BD'!$B280</f>
        <v>Yenny Maribel Duran Ovejero13</v>
      </c>
      <c r="D280" s="91" t="s">
        <v>148</v>
      </c>
      <c r="E280" s="92" t="s">
        <v>165</v>
      </c>
      <c r="F280" s="92" t="s">
        <v>212</v>
      </c>
      <c r="G280" s="60" t="str">
        <f t="shared" si="45"/>
        <v>Noviembre</v>
      </c>
      <c r="H280" s="67">
        <v>45980</v>
      </c>
      <c r="I280" s="243">
        <v>45979</v>
      </c>
      <c r="J280" s="57" t="s">
        <v>206</v>
      </c>
      <c r="K280" s="54">
        <f>IFERROR(VLOOKUP('Score BD'!$J280,Lista!A:B,2,0)," ")</f>
        <v>52962387</v>
      </c>
      <c r="L280" s="61" t="s">
        <v>527</v>
      </c>
      <c r="M280" s="59" t="s">
        <v>4</v>
      </c>
      <c r="N280" s="59" t="s">
        <v>4</v>
      </c>
      <c r="O280" s="59" t="s">
        <v>4</v>
      </c>
      <c r="P280" s="59" t="s">
        <v>4</v>
      </c>
      <c r="Q280" s="96">
        <f t="shared" si="46"/>
        <v>1</v>
      </c>
      <c r="R280" s="59" t="s">
        <v>4</v>
      </c>
      <c r="S280" s="59" t="s">
        <v>4</v>
      </c>
      <c r="T280" s="59" t="s">
        <v>4</v>
      </c>
      <c r="U280" s="59" t="s">
        <v>4</v>
      </c>
      <c r="V280" s="45">
        <f t="shared" si="47"/>
        <v>1</v>
      </c>
      <c r="W280" s="59" t="s">
        <v>4</v>
      </c>
      <c r="X280" s="59" t="s">
        <v>4</v>
      </c>
      <c r="Y280" s="59" t="s">
        <v>4</v>
      </c>
      <c r="Z280" s="59" t="s">
        <v>4</v>
      </c>
      <c r="AA280" s="59" t="s">
        <v>4</v>
      </c>
      <c r="AB280" s="59" t="s">
        <v>4</v>
      </c>
      <c r="AC280" s="45">
        <f t="shared" si="48"/>
        <v>1.000000000000002</v>
      </c>
      <c r="AD280" s="43" t="s">
        <v>4</v>
      </c>
      <c r="AE280" s="43" t="s">
        <v>4</v>
      </c>
      <c r="AF280" s="97">
        <f t="shared" si="49"/>
        <v>1</v>
      </c>
      <c r="AG280" s="44">
        <f t="shared" si="50"/>
        <v>1.0000000000000004</v>
      </c>
      <c r="AH280" s="55">
        <f t="shared" si="51"/>
        <v>0</v>
      </c>
      <c r="AI280" s="55">
        <f>COUNTIF('Score BD'!$M280:$P280,"no")</f>
        <v>0</v>
      </c>
      <c r="AJ280" s="55">
        <f t="shared" si="52"/>
        <v>0</v>
      </c>
      <c r="AK280" s="55">
        <f t="shared" si="53"/>
        <v>0</v>
      </c>
      <c r="AL280" s="55">
        <f t="shared" si="54"/>
        <v>0</v>
      </c>
      <c r="AM280" s="104" t="s">
        <v>585</v>
      </c>
      <c r="AN280" s="157"/>
      <c r="AO280" s="157"/>
      <c r="AP280" s="157"/>
      <c r="AQ280" s="59" t="str">
        <f>IFERROR(_xlfn.XLOOKUP(Tabla1[[#This Row],[Cedula agente]],Lista!$B$2:$B$97,Lista!$G$2:$G$97)," ")</f>
        <v>Luisa Fernanda Benavides Castrillon</v>
      </c>
      <c r="AR280" s="59" t="s">
        <v>162</v>
      </c>
      <c r="AS280" s="55" t="str">
        <f>IFERROR(_xlfn.XLOOKUP(Tabla1[[#This Row],[Cedula agente]],Lista!$B$2:$B$97,Lista!$F$2:$F$97)," ")</f>
        <v>John Sebastian Roncancio Avendaño</v>
      </c>
      <c r="AT280" s="99">
        <v>0.95</v>
      </c>
      <c r="AU280" s="200">
        <f>+WEEKNUM('Score BD'!$H280)-WEEKNUM(DATE(YEAR('Score BD'!$H280),MONTH('Score BD'!$H280),1))+1</f>
        <v>4</v>
      </c>
    </row>
    <row r="281" spans="1:47" ht="17.45" customHeight="1" x14ac:dyDescent="0.3">
      <c r="A281" s="49" t="str">
        <f t="shared" si="44"/>
        <v>Ministerio de Educación Nacional</v>
      </c>
      <c r="B281" s="50">
        <f>+IFERROR(COUNTIF($J$3:J281,J281)," ")</f>
        <v>30</v>
      </c>
      <c r="C281" s="54" t="str">
        <f>+'Score BD'!$J281&amp;'Score BD'!$B281</f>
        <v>Ana Graciela Barbosa Villalobos30</v>
      </c>
      <c r="D281" s="91" t="s">
        <v>148</v>
      </c>
      <c r="E281" s="92" t="s">
        <v>210</v>
      </c>
      <c r="F281" s="92" t="s">
        <v>212</v>
      </c>
      <c r="G281" s="60" t="str">
        <f t="shared" si="45"/>
        <v>Noviembre</v>
      </c>
      <c r="H281" s="67">
        <v>45981</v>
      </c>
      <c r="I281" s="243">
        <v>45980</v>
      </c>
      <c r="J281" s="57" t="s">
        <v>171</v>
      </c>
      <c r="K281" s="54">
        <f>IFERROR(VLOOKUP('Score BD'!$J281,Lista!A:B,2,0)," ")</f>
        <v>1026264261</v>
      </c>
      <c r="L281" s="61" t="s">
        <v>528</v>
      </c>
      <c r="M281" s="59" t="s">
        <v>4</v>
      </c>
      <c r="N281" s="59" t="s">
        <v>4</v>
      </c>
      <c r="O281" s="59" t="s">
        <v>4</v>
      </c>
      <c r="P281" s="59" t="s">
        <v>4</v>
      </c>
      <c r="Q281" s="96">
        <f t="shared" si="46"/>
        <v>1</v>
      </c>
      <c r="R281" s="59" t="s">
        <v>4</v>
      </c>
      <c r="S281" s="59" t="s">
        <v>4</v>
      </c>
      <c r="T281" s="59" t="s">
        <v>4</v>
      </c>
      <c r="U281" s="59" t="s">
        <v>4</v>
      </c>
      <c r="V281" s="45">
        <f t="shared" si="47"/>
        <v>1</v>
      </c>
      <c r="W281" s="59" t="s">
        <v>4</v>
      </c>
      <c r="X281" s="59" t="s">
        <v>4</v>
      </c>
      <c r="Y281" s="59" t="s">
        <v>4</v>
      </c>
      <c r="Z281" s="59" t="s">
        <v>4</v>
      </c>
      <c r="AA281" s="59" t="s">
        <v>4</v>
      </c>
      <c r="AB281" s="59" t="s">
        <v>4</v>
      </c>
      <c r="AC281" s="45">
        <f t="shared" si="48"/>
        <v>1.000000000000002</v>
      </c>
      <c r="AD281" s="43" t="s">
        <v>4</v>
      </c>
      <c r="AE281" s="43" t="s">
        <v>4</v>
      </c>
      <c r="AF281" s="97">
        <f t="shared" si="49"/>
        <v>1</v>
      </c>
      <c r="AG281" s="44">
        <f t="shared" si="50"/>
        <v>1.0000000000000004</v>
      </c>
      <c r="AH281" s="55">
        <f t="shared" si="51"/>
        <v>0</v>
      </c>
      <c r="AI281" s="55">
        <f>COUNTIF('Score BD'!$M281:$P281,"no")</f>
        <v>0</v>
      </c>
      <c r="AJ281" s="55">
        <f t="shared" si="52"/>
        <v>0</v>
      </c>
      <c r="AK281" s="55">
        <f t="shared" si="53"/>
        <v>0</v>
      </c>
      <c r="AL281" s="55">
        <f t="shared" si="54"/>
        <v>0</v>
      </c>
      <c r="AM281" s="104" t="s">
        <v>586</v>
      </c>
      <c r="AN281" s="55"/>
      <c r="AO281" s="61"/>
      <c r="AP281" s="61"/>
      <c r="AQ281" s="59" t="str">
        <f>IFERROR(_xlfn.XLOOKUP(Tabla1[[#This Row],[Cedula agente]],Lista!$B$2:$B$97,Lista!$G$2:$G$97)," ")</f>
        <v>Luisa Fernanda Benavides Castrillon</v>
      </c>
      <c r="AR281" s="59" t="s">
        <v>162</v>
      </c>
      <c r="AS281" s="55" t="str">
        <f>IFERROR(_xlfn.XLOOKUP(Tabla1[[#This Row],[Cedula agente]],Lista!$B$2:$B$97,Lista!$F$2:$F$97)," ")</f>
        <v>John Sebastian Roncancio Avendaño</v>
      </c>
      <c r="AT281" s="99">
        <v>0.95</v>
      </c>
      <c r="AU281" s="200">
        <f>+WEEKNUM('Score BD'!$H281)-WEEKNUM(DATE(YEAR('Score BD'!$H281),MONTH('Score BD'!$H281),1))+1</f>
        <v>4</v>
      </c>
    </row>
    <row r="282" spans="1:47" ht="17.45" customHeight="1" x14ac:dyDescent="0.3">
      <c r="A282" s="49" t="str">
        <f t="shared" si="44"/>
        <v>Ministerio de Educación Nacional</v>
      </c>
      <c r="B282" s="50">
        <f>+IFERROR(COUNTIF($J$3:J282,J282)," ")</f>
        <v>31</v>
      </c>
      <c r="C282" s="54" t="str">
        <f>+'Score BD'!$J282&amp;'Score BD'!$B282</f>
        <v>Ana Graciela Barbosa Villalobos31</v>
      </c>
      <c r="D282" s="91" t="s">
        <v>148</v>
      </c>
      <c r="E282" s="92" t="s">
        <v>210</v>
      </c>
      <c r="F282" s="92" t="s">
        <v>212</v>
      </c>
      <c r="G282" s="60" t="str">
        <f t="shared" si="45"/>
        <v>Noviembre</v>
      </c>
      <c r="H282" s="67">
        <v>45981</v>
      </c>
      <c r="I282" s="243">
        <v>45980</v>
      </c>
      <c r="J282" s="57" t="s">
        <v>171</v>
      </c>
      <c r="K282" s="54">
        <f>IFERROR(VLOOKUP('Score BD'!$J282,Lista!A:B,2,0)," ")</f>
        <v>1026264261</v>
      </c>
      <c r="L282" s="61" t="s">
        <v>529</v>
      </c>
      <c r="M282" s="59" t="s">
        <v>4</v>
      </c>
      <c r="N282" s="59" t="s">
        <v>4</v>
      </c>
      <c r="O282" s="59" t="s">
        <v>4</v>
      </c>
      <c r="P282" s="59" t="s">
        <v>4</v>
      </c>
      <c r="Q282" s="96">
        <f t="shared" si="46"/>
        <v>1</v>
      </c>
      <c r="R282" s="59" t="s">
        <v>4</v>
      </c>
      <c r="S282" s="59" t="s">
        <v>4</v>
      </c>
      <c r="T282" s="59" t="s">
        <v>4</v>
      </c>
      <c r="U282" s="59" t="s">
        <v>4</v>
      </c>
      <c r="V282" s="45">
        <f t="shared" si="47"/>
        <v>1</v>
      </c>
      <c r="W282" s="59" t="s">
        <v>4</v>
      </c>
      <c r="X282" s="59" t="s">
        <v>4</v>
      </c>
      <c r="Y282" s="59" t="s">
        <v>4</v>
      </c>
      <c r="Z282" s="59" t="s">
        <v>4</v>
      </c>
      <c r="AA282" s="59" t="s">
        <v>4</v>
      </c>
      <c r="AB282" s="59" t="s">
        <v>4</v>
      </c>
      <c r="AC282" s="45">
        <f t="shared" si="48"/>
        <v>1.000000000000002</v>
      </c>
      <c r="AD282" s="43" t="s">
        <v>4</v>
      </c>
      <c r="AE282" s="43" t="s">
        <v>4</v>
      </c>
      <c r="AF282" s="97">
        <f t="shared" si="49"/>
        <v>1</v>
      </c>
      <c r="AG282" s="44">
        <f t="shared" si="50"/>
        <v>1.0000000000000004</v>
      </c>
      <c r="AH282" s="55">
        <f t="shared" si="51"/>
        <v>0</v>
      </c>
      <c r="AI282" s="55">
        <f>COUNTIF('Score BD'!$M282:$P282,"no")</f>
        <v>0</v>
      </c>
      <c r="AJ282" s="55">
        <f t="shared" si="52"/>
        <v>0</v>
      </c>
      <c r="AK282" s="55">
        <f t="shared" si="53"/>
        <v>0</v>
      </c>
      <c r="AL282" s="55">
        <f t="shared" si="54"/>
        <v>0</v>
      </c>
      <c r="AM282" s="104" t="s">
        <v>586</v>
      </c>
      <c r="AN282" s="55"/>
      <c r="AO282" s="61"/>
      <c r="AP282" s="61"/>
      <c r="AQ282" s="59" t="str">
        <f>IFERROR(_xlfn.XLOOKUP(Tabla1[[#This Row],[Cedula agente]],Lista!$B$2:$B$97,Lista!$G$2:$G$97)," ")</f>
        <v>Luisa Fernanda Benavides Castrillon</v>
      </c>
      <c r="AR282" s="59" t="s">
        <v>162</v>
      </c>
      <c r="AS282" s="55" t="str">
        <f>IFERROR(_xlfn.XLOOKUP(Tabla1[[#This Row],[Cedula agente]],Lista!$B$2:$B$97,Lista!$F$2:$F$97)," ")</f>
        <v>John Sebastian Roncancio Avendaño</v>
      </c>
      <c r="AT282" s="99">
        <v>0.95</v>
      </c>
      <c r="AU282" s="200">
        <f>+WEEKNUM('Score BD'!$H282)-WEEKNUM(DATE(YEAR('Score BD'!$H282),MONTH('Score BD'!$H282),1))+1</f>
        <v>4</v>
      </c>
    </row>
    <row r="283" spans="1:47" ht="17.45" customHeight="1" x14ac:dyDescent="0.3">
      <c r="A283" s="49" t="str">
        <f t="shared" si="44"/>
        <v>Ministerio de Educación Nacional</v>
      </c>
      <c r="B283" s="50">
        <f>+IFERROR(COUNTIF($J$3:J283,J283)," ")</f>
        <v>32</v>
      </c>
      <c r="C283" s="54" t="str">
        <f>+'Score BD'!$J283&amp;'Score BD'!$B283</f>
        <v>Ana Graciela Barbosa Villalobos32</v>
      </c>
      <c r="D283" s="91" t="s">
        <v>148</v>
      </c>
      <c r="E283" s="92" t="s">
        <v>210</v>
      </c>
      <c r="F283" s="92" t="s">
        <v>212</v>
      </c>
      <c r="G283" s="60" t="str">
        <f t="shared" si="45"/>
        <v>Noviembre</v>
      </c>
      <c r="H283" s="67">
        <v>45981</v>
      </c>
      <c r="I283" s="243">
        <v>45980</v>
      </c>
      <c r="J283" s="57" t="s">
        <v>171</v>
      </c>
      <c r="K283" s="54">
        <f>IFERROR(VLOOKUP('Score BD'!$J283,Lista!A:B,2,0)," ")</f>
        <v>1026264261</v>
      </c>
      <c r="L283" s="61" t="s">
        <v>530</v>
      </c>
      <c r="M283" s="59" t="s">
        <v>4</v>
      </c>
      <c r="N283" s="59" t="s">
        <v>4</v>
      </c>
      <c r="O283" s="59" t="s">
        <v>4</v>
      </c>
      <c r="P283" s="59" t="s">
        <v>4</v>
      </c>
      <c r="Q283" s="96">
        <f t="shared" si="46"/>
        <v>1</v>
      </c>
      <c r="R283" s="59" t="s">
        <v>4</v>
      </c>
      <c r="S283" s="59" t="s">
        <v>4</v>
      </c>
      <c r="T283" s="59" t="s">
        <v>4</v>
      </c>
      <c r="U283" s="59" t="s">
        <v>4</v>
      </c>
      <c r="V283" s="45">
        <f t="shared" si="47"/>
        <v>1</v>
      </c>
      <c r="W283" s="59" t="s">
        <v>4</v>
      </c>
      <c r="X283" s="59" t="s">
        <v>4</v>
      </c>
      <c r="Y283" s="59" t="s">
        <v>4</v>
      </c>
      <c r="Z283" s="59" t="s">
        <v>4</v>
      </c>
      <c r="AA283" s="59" t="s">
        <v>4</v>
      </c>
      <c r="AB283" s="59" t="s">
        <v>4</v>
      </c>
      <c r="AC283" s="45">
        <f t="shared" si="48"/>
        <v>1.000000000000002</v>
      </c>
      <c r="AD283" s="43" t="s">
        <v>4</v>
      </c>
      <c r="AE283" s="43" t="s">
        <v>4</v>
      </c>
      <c r="AF283" s="97">
        <f t="shared" si="49"/>
        <v>1</v>
      </c>
      <c r="AG283" s="44">
        <f t="shared" si="50"/>
        <v>1.0000000000000004</v>
      </c>
      <c r="AH283" s="55">
        <f t="shared" si="51"/>
        <v>0</v>
      </c>
      <c r="AI283" s="55">
        <f>COUNTIF('Score BD'!$M283:$P283,"no")</f>
        <v>0</v>
      </c>
      <c r="AJ283" s="55">
        <f t="shared" si="52"/>
        <v>0</v>
      </c>
      <c r="AK283" s="55">
        <f t="shared" si="53"/>
        <v>0</v>
      </c>
      <c r="AL283" s="55">
        <f t="shared" si="54"/>
        <v>0</v>
      </c>
      <c r="AM283" s="104" t="s">
        <v>586</v>
      </c>
      <c r="AN283" s="55"/>
      <c r="AO283" s="61"/>
      <c r="AP283" s="61"/>
      <c r="AQ283" s="59" t="str">
        <f>IFERROR(_xlfn.XLOOKUP(Tabla1[[#This Row],[Cedula agente]],Lista!$B$2:$B$97,Lista!$G$2:$G$97)," ")</f>
        <v>Luisa Fernanda Benavides Castrillon</v>
      </c>
      <c r="AR283" s="59" t="s">
        <v>162</v>
      </c>
      <c r="AS283" s="55" t="str">
        <f>IFERROR(_xlfn.XLOOKUP(Tabla1[[#This Row],[Cedula agente]],Lista!$B$2:$B$97,Lista!$F$2:$F$97)," ")</f>
        <v>John Sebastian Roncancio Avendaño</v>
      </c>
      <c r="AT283" s="99">
        <v>0.95</v>
      </c>
      <c r="AU283" s="200">
        <f>+WEEKNUM('Score BD'!$H283)-WEEKNUM(DATE(YEAR('Score BD'!$H283),MONTH('Score BD'!$H283),1))+1</f>
        <v>4</v>
      </c>
    </row>
    <row r="284" spans="1:47" ht="17.45" customHeight="1" x14ac:dyDescent="0.3">
      <c r="A284" s="49" t="str">
        <f t="shared" si="44"/>
        <v>Ministerio de Educación Nacional</v>
      </c>
      <c r="B284" s="50">
        <f>+IFERROR(COUNTIF($J$3:J284,J284)," ")</f>
        <v>8</v>
      </c>
      <c r="C284" s="54" t="str">
        <f>+'Score BD'!$J284&amp;'Score BD'!$B284</f>
        <v>Andrés Felipe Silva Martínez8</v>
      </c>
      <c r="D284" s="91" t="s">
        <v>148</v>
      </c>
      <c r="E284" s="92" t="s">
        <v>208</v>
      </c>
      <c r="F284" s="92" t="s">
        <v>212</v>
      </c>
      <c r="G284" s="60" t="str">
        <f t="shared" si="45"/>
        <v>Noviembre</v>
      </c>
      <c r="H284" s="67">
        <v>45981</v>
      </c>
      <c r="I284" s="243">
        <v>45980</v>
      </c>
      <c r="J284" s="57" t="s">
        <v>228</v>
      </c>
      <c r="K284" s="54">
        <f>IFERROR(VLOOKUP('Score BD'!$J284,Lista!A:B,2,0)," ")</f>
        <v>1120362660</v>
      </c>
      <c r="L284" s="61" t="s">
        <v>531</v>
      </c>
      <c r="M284" s="59" t="s">
        <v>4</v>
      </c>
      <c r="N284" s="59" t="s">
        <v>4</v>
      </c>
      <c r="O284" s="59" t="s">
        <v>4</v>
      </c>
      <c r="P284" s="59" t="s">
        <v>4</v>
      </c>
      <c r="Q284" s="96">
        <f t="shared" si="46"/>
        <v>1</v>
      </c>
      <c r="R284" s="59" t="s">
        <v>4</v>
      </c>
      <c r="S284" s="59" t="s">
        <v>4</v>
      </c>
      <c r="T284" s="59" t="s">
        <v>4</v>
      </c>
      <c r="U284" s="59" t="s">
        <v>4</v>
      </c>
      <c r="V284" s="45">
        <f t="shared" si="47"/>
        <v>1</v>
      </c>
      <c r="W284" s="59" t="s">
        <v>4</v>
      </c>
      <c r="X284" s="59" t="s">
        <v>4</v>
      </c>
      <c r="Y284" s="59" t="s">
        <v>4</v>
      </c>
      <c r="Z284" s="59" t="s">
        <v>4</v>
      </c>
      <c r="AA284" s="59" t="s">
        <v>4</v>
      </c>
      <c r="AB284" s="59" t="s">
        <v>4</v>
      </c>
      <c r="AC284" s="45">
        <f t="shared" si="48"/>
        <v>1.000000000000002</v>
      </c>
      <c r="AD284" s="43" t="s">
        <v>4</v>
      </c>
      <c r="AE284" s="43" t="s">
        <v>4</v>
      </c>
      <c r="AF284" s="97">
        <f t="shared" si="49"/>
        <v>1</v>
      </c>
      <c r="AG284" s="44">
        <f t="shared" si="50"/>
        <v>1.0000000000000004</v>
      </c>
      <c r="AH284" s="55">
        <f t="shared" si="51"/>
        <v>0</v>
      </c>
      <c r="AI284" s="55">
        <f>COUNTIF('Score BD'!$M284:$P284,"no")</f>
        <v>0</v>
      </c>
      <c r="AJ284" s="55">
        <f t="shared" si="52"/>
        <v>0</v>
      </c>
      <c r="AK284" s="55">
        <f t="shared" si="53"/>
        <v>0</v>
      </c>
      <c r="AL284" s="55">
        <f t="shared" si="54"/>
        <v>0</v>
      </c>
      <c r="AM284" s="104" t="s">
        <v>586</v>
      </c>
      <c r="AN284" s="55"/>
      <c r="AO284" s="61"/>
      <c r="AP284" s="61"/>
      <c r="AQ284" s="59" t="str">
        <f>IFERROR(_xlfn.XLOOKUP(Tabla1[[#This Row],[Cedula agente]],Lista!$B$2:$B$97,Lista!$G$2:$G$97)," ")</f>
        <v>Luisa Fernanda Benavides Castrillon</v>
      </c>
      <c r="AR284" s="59" t="s">
        <v>162</v>
      </c>
      <c r="AS284" s="55" t="str">
        <f>IFERROR(_xlfn.XLOOKUP(Tabla1[[#This Row],[Cedula agente]],Lista!$B$2:$B$97,Lista!$F$2:$F$97)," ")</f>
        <v>John Sebastian Roncancio Avendaño</v>
      </c>
      <c r="AT284" s="99">
        <v>0.95</v>
      </c>
      <c r="AU284" s="200">
        <f>+WEEKNUM('Score BD'!$H284)-WEEKNUM(DATE(YEAR('Score BD'!$H284),MONTH('Score BD'!$H284),1))+1</f>
        <v>4</v>
      </c>
    </row>
    <row r="285" spans="1:47" ht="17.45" customHeight="1" x14ac:dyDescent="0.3">
      <c r="A285" s="49" t="str">
        <f t="shared" si="44"/>
        <v>Ministerio de Educación Nacional</v>
      </c>
      <c r="B285" s="50">
        <f>+IFERROR(COUNTIF($J$3:J285,J285)," ")</f>
        <v>12</v>
      </c>
      <c r="C285" s="54" t="str">
        <f>+'Score BD'!$J285&amp;'Score BD'!$B285</f>
        <v>Cesar Rodrigo García12</v>
      </c>
      <c r="D285" s="91" t="s">
        <v>148</v>
      </c>
      <c r="E285" s="92" t="s">
        <v>165</v>
      </c>
      <c r="F285" s="92" t="s">
        <v>212</v>
      </c>
      <c r="G285" s="60" t="str">
        <f t="shared" si="45"/>
        <v>Noviembre</v>
      </c>
      <c r="H285" s="67">
        <v>45981</v>
      </c>
      <c r="I285" s="243">
        <v>45980</v>
      </c>
      <c r="J285" s="57" t="s">
        <v>172</v>
      </c>
      <c r="K285" s="54">
        <f>IFERROR(VLOOKUP('Score BD'!$J285,Lista!A:B,2,0)," ")</f>
        <v>1069257937</v>
      </c>
      <c r="L285" s="61" t="s">
        <v>532</v>
      </c>
      <c r="M285" s="59" t="s">
        <v>4</v>
      </c>
      <c r="N285" s="59" t="s">
        <v>4</v>
      </c>
      <c r="O285" s="59" t="s">
        <v>4</v>
      </c>
      <c r="P285" s="59" t="s">
        <v>4</v>
      </c>
      <c r="Q285" s="96">
        <f t="shared" si="46"/>
        <v>1</v>
      </c>
      <c r="R285" s="59" t="s">
        <v>4</v>
      </c>
      <c r="S285" s="59" t="s">
        <v>4</v>
      </c>
      <c r="T285" s="59" t="s">
        <v>4</v>
      </c>
      <c r="U285" s="59" t="s">
        <v>4</v>
      </c>
      <c r="V285" s="45">
        <f t="shared" si="47"/>
        <v>1</v>
      </c>
      <c r="W285" s="59" t="s">
        <v>4</v>
      </c>
      <c r="X285" s="59" t="s">
        <v>4</v>
      </c>
      <c r="Y285" s="59" t="s">
        <v>4</v>
      </c>
      <c r="Z285" s="59" t="s">
        <v>4</v>
      </c>
      <c r="AA285" s="59" t="s">
        <v>4</v>
      </c>
      <c r="AB285" s="59" t="s">
        <v>4</v>
      </c>
      <c r="AC285" s="45">
        <f t="shared" si="48"/>
        <v>1.000000000000002</v>
      </c>
      <c r="AD285" s="43" t="s">
        <v>4</v>
      </c>
      <c r="AE285" s="43" t="s">
        <v>4</v>
      </c>
      <c r="AF285" s="97">
        <f t="shared" si="49"/>
        <v>1</v>
      </c>
      <c r="AG285" s="44">
        <f t="shared" si="50"/>
        <v>1.0000000000000004</v>
      </c>
      <c r="AH285" s="55">
        <f t="shared" si="51"/>
        <v>0</v>
      </c>
      <c r="AI285" s="55">
        <f>COUNTIF('Score BD'!$M285:$P285,"no")</f>
        <v>0</v>
      </c>
      <c r="AJ285" s="55">
        <f t="shared" si="52"/>
        <v>0</v>
      </c>
      <c r="AK285" s="55">
        <f t="shared" si="53"/>
        <v>0</v>
      </c>
      <c r="AL285" s="55">
        <f t="shared" si="54"/>
        <v>0</v>
      </c>
      <c r="AM285" s="104" t="s">
        <v>586</v>
      </c>
      <c r="AN285" s="55"/>
      <c r="AO285" s="61"/>
      <c r="AP285" s="61"/>
      <c r="AQ285" s="59" t="str">
        <f>IFERROR(_xlfn.XLOOKUP(Tabla1[[#This Row],[Cedula agente]],Lista!$B$2:$B$97,Lista!$G$2:$G$97)," ")</f>
        <v>Luisa Fernanda Benavides Castrillon</v>
      </c>
      <c r="AR285" s="59" t="s">
        <v>162</v>
      </c>
      <c r="AS285" s="55" t="str">
        <f>IFERROR(_xlfn.XLOOKUP(Tabla1[[#This Row],[Cedula agente]],Lista!$B$2:$B$97,Lista!$F$2:$F$97)," ")</f>
        <v>John Sebastian Roncancio Avendaño</v>
      </c>
      <c r="AT285" s="99">
        <v>0.95</v>
      </c>
      <c r="AU285" s="200">
        <f>+WEEKNUM('Score BD'!$H285)-WEEKNUM(DATE(YEAR('Score BD'!$H285),MONTH('Score BD'!$H285),1))+1</f>
        <v>4</v>
      </c>
    </row>
    <row r="286" spans="1:47" ht="17.45" customHeight="1" x14ac:dyDescent="0.3">
      <c r="A286" s="49" t="str">
        <f t="shared" si="44"/>
        <v>Ministerio de Educación Nacional</v>
      </c>
      <c r="B286" s="50">
        <f>+IFERROR(COUNTIF($J$3:J286,J286)," ")</f>
        <v>11</v>
      </c>
      <c r="C286" s="54" t="str">
        <f>+'Score BD'!$J286&amp;'Score BD'!$B286</f>
        <v>Cristian Enrique Benitez Rodriguez11</v>
      </c>
      <c r="D286" s="91" t="s">
        <v>148</v>
      </c>
      <c r="E286" s="92" t="s">
        <v>165</v>
      </c>
      <c r="F286" s="92" t="s">
        <v>212</v>
      </c>
      <c r="G286" s="60" t="str">
        <f t="shared" si="45"/>
        <v>Noviembre</v>
      </c>
      <c r="H286" s="67">
        <v>45981</v>
      </c>
      <c r="I286" s="243">
        <v>45980</v>
      </c>
      <c r="J286" s="57" t="s">
        <v>173</v>
      </c>
      <c r="K286" s="54">
        <f>IFERROR(VLOOKUP('Score BD'!$J286,Lista!A:B,2,0)," ")</f>
        <v>1026574814</v>
      </c>
      <c r="L286" s="61" t="s">
        <v>533</v>
      </c>
      <c r="M286" s="59" t="s">
        <v>4</v>
      </c>
      <c r="N286" s="59" t="s">
        <v>4</v>
      </c>
      <c r="O286" s="59" t="s">
        <v>4</v>
      </c>
      <c r="P286" s="59" t="s">
        <v>4</v>
      </c>
      <c r="Q286" s="96">
        <f t="shared" si="46"/>
        <v>1</v>
      </c>
      <c r="R286" s="59" t="s">
        <v>4</v>
      </c>
      <c r="S286" s="59" t="s">
        <v>4</v>
      </c>
      <c r="T286" s="59" t="s">
        <v>4</v>
      </c>
      <c r="U286" s="59" t="s">
        <v>4</v>
      </c>
      <c r="V286" s="45">
        <f t="shared" si="47"/>
        <v>1</v>
      </c>
      <c r="W286" s="59" t="s">
        <v>4</v>
      </c>
      <c r="X286" s="59" t="s">
        <v>4</v>
      </c>
      <c r="Y286" s="59" t="s">
        <v>4</v>
      </c>
      <c r="Z286" s="59" t="s">
        <v>4</v>
      </c>
      <c r="AA286" s="59" t="s">
        <v>4</v>
      </c>
      <c r="AB286" s="59" t="s">
        <v>4</v>
      </c>
      <c r="AC286" s="45">
        <f t="shared" si="48"/>
        <v>1.000000000000002</v>
      </c>
      <c r="AD286" s="43" t="s">
        <v>4</v>
      </c>
      <c r="AE286" s="43" t="s">
        <v>4</v>
      </c>
      <c r="AF286" s="97">
        <f t="shared" si="49"/>
        <v>1</v>
      </c>
      <c r="AG286" s="44">
        <f t="shared" si="50"/>
        <v>1.0000000000000004</v>
      </c>
      <c r="AH286" s="55">
        <f t="shared" si="51"/>
        <v>0</v>
      </c>
      <c r="AI286" s="55">
        <f>COUNTIF('Score BD'!$M286:$P286,"no")</f>
        <v>0</v>
      </c>
      <c r="AJ286" s="55">
        <f t="shared" si="52"/>
        <v>0</v>
      </c>
      <c r="AK286" s="55">
        <f t="shared" si="53"/>
        <v>0</v>
      </c>
      <c r="AL286" s="55">
        <f t="shared" si="54"/>
        <v>0</v>
      </c>
      <c r="AM286" s="104" t="s">
        <v>586</v>
      </c>
      <c r="AN286" s="55"/>
      <c r="AO286" s="61"/>
      <c r="AP286" s="61"/>
      <c r="AQ286" s="59" t="str">
        <f>IFERROR(_xlfn.XLOOKUP(Tabla1[[#This Row],[Cedula agente]],Lista!$B$2:$B$97,Lista!$G$2:$G$97)," ")</f>
        <v>Luisa Fernanda Benavides Castrillon</v>
      </c>
      <c r="AR286" s="59" t="s">
        <v>162</v>
      </c>
      <c r="AS286" s="55" t="str">
        <f>IFERROR(_xlfn.XLOOKUP(Tabla1[[#This Row],[Cedula agente]],Lista!$B$2:$B$97,Lista!$F$2:$F$97)," ")</f>
        <v>John Sebastian Roncancio Avendaño</v>
      </c>
      <c r="AT286" s="99">
        <v>0.95</v>
      </c>
      <c r="AU286" s="200">
        <f>+WEEKNUM('Score BD'!$H286)-WEEKNUM(DATE(YEAR('Score BD'!$H286),MONTH('Score BD'!$H286),1))+1</f>
        <v>4</v>
      </c>
    </row>
    <row r="287" spans="1:47" ht="17.45" customHeight="1" x14ac:dyDescent="0.3">
      <c r="A287" s="49" t="str">
        <f t="shared" si="44"/>
        <v>Ministerio de Educación Nacional</v>
      </c>
      <c r="B287" s="50">
        <f>+IFERROR(COUNTIF($J$3:J287,J287)," ")</f>
        <v>7</v>
      </c>
      <c r="C287" s="54" t="str">
        <f>+'Score BD'!$J287&amp;'Score BD'!$B287</f>
        <v>Daniela Murillo Solano7</v>
      </c>
      <c r="D287" s="91" t="s">
        <v>148</v>
      </c>
      <c r="E287" s="92" t="s">
        <v>211</v>
      </c>
      <c r="F287" s="92" t="s">
        <v>212</v>
      </c>
      <c r="G287" s="60" t="str">
        <f t="shared" si="45"/>
        <v>Noviembre</v>
      </c>
      <c r="H287" s="67">
        <v>45981</v>
      </c>
      <c r="I287" s="243">
        <v>45980</v>
      </c>
      <c r="J287" s="57" t="s">
        <v>203</v>
      </c>
      <c r="K287" s="54">
        <f>IFERROR(VLOOKUP('Score BD'!$J287,Lista!A:B,2,0)," ")</f>
        <v>1234194276</v>
      </c>
      <c r="L287" s="61" t="s">
        <v>534</v>
      </c>
      <c r="M287" s="59" t="s">
        <v>4</v>
      </c>
      <c r="N287" s="59" t="s">
        <v>4</v>
      </c>
      <c r="O287" s="59" t="s">
        <v>4</v>
      </c>
      <c r="P287" s="59" t="s">
        <v>4</v>
      </c>
      <c r="Q287" s="96">
        <f t="shared" si="46"/>
        <v>1</v>
      </c>
      <c r="R287" s="59" t="s">
        <v>4</v>
      </c>
      <c r="S287" s="59" t="s">
        <v>4</v>
      </c>
      <c r="T287" s="59" t="s">
        <v>4</v>
      </c>
      <c r="U287" s="59" t="s">
        <v>4</v>
      </c>
      <c r="V287" s="45">
        <f t="shared" si="47"/>
        <v>1</v>
      </c>
      <c r="W287" s="59" t="s">
        <v>4</v>
      </c>
      <c r="X287" s="59" t="s">
        <v>4</v>
      </c>
      <c r="Y287" s="59" t="s">
        <v>4</v>
      </c>
      <c r="Z287" s="59" t="s">
        <v>4</v>
      </c>
      <c r="AA287" s="59" t="s">
        <v>4</v>
      </c>
      <c r="AB287" s="59" t="s">
        <v>4</v>
      </c>
      <c r="AC287" s="45">
        <f t="shared" si="48"/>
        <v>1.000000000000002</v>
      </c>
      <c r="AD287" s="43" t="s">
        <v>4</v>
      </c>
      <c r="AE287" s="43" t="s">
        <v>4</v>
      </c>
      <c r="AF287" s="97">
        <f t="shared" si="49"/>
        <v>1</v>
      </c>
      <c r="AG287" s="44">
        <f t="shared" si="50"/>
        <v>1.0000000000000004</v>
      </c>
      <c r="AH287" s="55">
        <f t="shared" si="51"/>
        <v>0</v>
      </c>
      <c r="AI287" s="55">
        <f>COUNTIF('Score BD'!$M287:$P287,"no")</f>
        <v>0</v>
      </c>
      <c r="AJ287" s="55">
        <f t="shared" si="52"/>
        <v>0</v>
      </c>
      <c r="AK287" s="55">
        <f t="shared" si="53"/>
        <v>0</v>
      </c>
      <c r="AL287" s="55">
        <f t="shared" si="54"/>
        <v>0</v>
      </c>
      <c r="AM287" s="104" t="s">
        <v>586</v>
      </c>
      <c r="AN287" s="55"/>
      <c r="AO287" s="61"/>
      <c r="AP287" s="61"/>
      <c r="AQ287" s="59" t="str">
        <f>IFERROR(_xlfn.XLOOKUP(Tabla1[[#This Row],[Cedula agente]],Lista!$B$2:$B$97,Lista!$G$2:$G$97)," ")</f>
        <v>Luisa Fernanda Benavides Castrillon</v>
      </c>
      <c r="AR287" s="59" t="s">
        <v>162</v>
      </c>
      <c r="AS287" s="55" t="str">
        <f>IFERROR(_xlfn.XLOOKUP(Tabla1[[#This Row],[Cedula agente]],Lista!$B$2:$B$97,Lista!$F$2:$F$97)," ")</f>
        <v>John Sebastian Roncancio Avendaño</v>
      </c>
      <c r="AT287" s="99">
        <v>0.95</v>
      </c>
      <c r="AU287" s="200">
        <f>+WEEKNUM('Score BD'!$H287)-WEEKNUM(DATE(YEAR('Score BD'!$H287),MONTH('Score BD'!$H287),1))+1</f>
        <v>4</v>
      </c>
    </row>
    <row r="288" spans="1:47" ht="17.45" customHeight="1" x14ac:dyDescent="0.3">
      <c r="A288" s="49" t="str">
        <f t="shared" si="44"/>
        <v>Ministerio de Educación Nacional</v>
      </c>
      <c r="B288" s="50">
        <f>+IFERROR(COUNTIF($J$3:J288,J288)," ")</f>
        <v>31</v>
      </c>
      <c r="C288" s="54" t="str">
        <f>+'Score BD'!$J288&amp;'Score BD'!$B288</f>
        <v>Erika Natalia Ramírez Herrera31</v>
      </c>
      <c r="D288" s="91" t="s">
        <v>148</v>
      </c>
      <c r="E288" s="92" t="s">
        <v>164</v>
      </c>
      <c r="F288" s="92" t="s">
        <v>212</v>
      </c>
      <c r="G288" s="60" t="str">
        <f t="shared" si="45"/>
        <v>Noviembre</v>
      </c>
      <c r="H288" s="67">
        <v>45981</v>
      </c>
      <c r="I288" s="243">
        <v>45980</v>
      </c>
      <c r="J288" s="57" t="s">
        <v>174</v>
      </c>
      <c r="K288" s="54">
        <f>IFERROR(VLOOKUP('Score BD'!$J288,Lista!A:B,2,0)," ")</f>
        <v>1032367072</v>
      </c>
      <c r="L288" s="61" t="s">
        <v>535</v>
      </c>
      <c r="M288" s="59" t="s">
        <v>4</v>
      </c>
      <c r="N288" s="59" t="s">
        <v>4</v>
      </c>
      <c r="O288" s="59" t="s">
        <v>4</v>
      </c>
      <c r="P288" s="59" t="s">
        <v>4</v>
      </c>
      <c r="Q288" s="96">
        <f t="shared" si="46"/>
        <v>1</v>
      </c>
      <c r="R288" s="59" t="s">
        <v>4</v>
      </c>
      <c r="S288" s="59" t="s">
        <v>4</v>
      </c>
      <c r="T288" s="59" t="s">
        <v>4</v>
      </c>
      <c r="U288" s="59" t="s">
        <v>4</v>
      </c>
      <c r="V288" s="45">
        <f t="shared" si="47"/>
        <v>1</v>
      </c>
      <c r="W288" s="59" t="s">
        <v>4</v>
      </c>
      <c r="X288" s="59" t="s">
        <v>4</v>
      </c>
      <c r="Y288" s="59" t="s">
        <v>4</v>
      </c>
      <c r="Z288" s="59" t="s">
        <v>4</v>
      </c>
      <c r="AA288" s="59" t="s">
        <v>4</v>
      </c>
      <c r="AB288" s="59" t="s">
        <v>4</v>
      </c>
      <c r="AC288" s="45">
        <f t="shared" si="48"/>
        <v>1.000000000000002</v>
      </c>
      <c r="AD288" s="43" t="s">
        <v>4</v>
      </c>
      <c r="AE288" s="43" t="s">
        <v>4</v>
      </c>
      <c r="AF288" s="97">
        <f t="shared" si="49"/>
        <v>1</v>
      </c>
      <c r="AG288" s="44">
        <f t="shared" si="50"/>
        <v>1.0000000000000004</v>
      </c>
      <c r="AH288" s="55">
        <f t="shared" si="51"/>
        <v>0</v>
      </c>
      <c r="AI288" s="55">
        <f>COUNTIF('Score BD'!$M288:$P288,"no")</f>
        <v>0</v>
      </c>
      <c r="AJ288" s="55">
        <f t="shared" si="52"/>
        <v>0</v>
      </c>
      <c r="AK288" s="55">
        <f t="shared" si="53"/>
        <v>0</v>
      </c>
      <c r="AL288" s="55">
        <f t="shared" si="54"/>
        <v>0</v>
      </c>
      <c r="AM288" s="104" t="s">
        <v>586</v>
      </c>
      <c r="AN288" s="55"/>
      <c r="AO288" s="61"/>
      <c r="AP288" s="61"/>
      <c r="AQ288" s="59" t="str">
        <f>IFERROR(_xlfn.XLOOKUP(Tabla1[[#This Row],[Cedula agente]],Lista!$B$2:$B$97,Lista!$G$2:$G$97)," ")</f>
        <v>Luisa Fernanda Benavides Castrillon</v>
      </c>
      <c r="AR288" s="59" t="s">
        <v>162</v>
      </c>
      <c r="AS288" s="55" t="str">
        <f>IFERROR(_xlfn.XLOOKUP(Tabla1[[#This Row],[Cedula agente]],Lista!$B$2:$B$97,Lista!$F$2:$F$97)," ")</f>
        <v>John Sebastian Roncancio Avendaño</v>
      </c>
      <c r="AT288" s="99">
        <v>0.95</v>
      </c>
      <c r="AU288" s="200">
        <f>+WEEKNUM('Score BD'!$H288)-WEEKNUM(DATE(YEAR('Score BD'!$H288),MONTH('Score BD'!$H288),1))+1</f>
        <v>4</v>
      </c>
    </row>
    <row r="289" spans="1:47" ht="17.45" customHeight="1" x14ac:dyDescent="0.3">
      <c r="A289" s="49" t="str">
        <f t="shared" si="44"/>
        <v>Ministerio de Educación Nacional</v>
      </c>
      <c r="B289" s="50">
        <f>+IFERROR(COUNTIF($J$3:J289,J289)," ")</f>
        <v>32</v>
      </c>
      <c r="C289" s="54" t="str">
        <f>+'Score BD'!$J289&amp;'Score BD'!$B289</f>
        <v>Erika Natalia Ramírez Herrera32</v>
      </c>
      <c r="D289" s="91" t="s">
        <v>148</v>
      </c>
      <c r="E289" s="92" t="s">
        <v>164</v>
      </c>
      <c r="F289" s="92" t="s">
        <v>212</v>
      </c>
      <c r="G289" s="60" t="str">
        <f t="shared" si="45"/>
        <v>Noviembre</v>
      </c>
      <c r="H289" s="67">
        <v>45981</v>
      </c>
      <c r="I289" s="243">
        <v>45980</v>
      </c>
      <c r="J289" s="57" t="s">
        <v>174</v>
      </c>
      <c r="K289" s="54">
        <f>IFERROR(VLOOKUP('Score BD'!$J289,Lista!A:B,2,0)," ")</f>
        <v>1032367072</v>
      </c>
      <c r="L289" s="61" t="s">
        <v>536</v>
      </c>
      <c r="M289" s="59" t="s">
        <v>4</v>
      </c>
      <c r="N289" s="59" t="s">
        <v>4</v>
      </c>
      <c r="O289" s="59" t="s">
        <v>4</v>
      </c>
      <c r="P289" s="59" t="s">
        <v>4</v>
      </c>
      <c r="Q289" s="96">
        <f t="shared" si="46"/>
        <v>1</v>
      </c>
      <c r="R289" s="59" t="s">
        <v>4</v>
      </c>
      <c r="S289" s="59" t="s">
        <v>4</v>
      </c>
      <c r="T289" s="59" t="s">
        <v>4</v>
      </c>
      <c r="U289" s="59" t="s">
        <v>4</v>
      </c>
      <c r="V289" s="45">
        <f t="shared" si="47"/>
        <v>1</v>
      </c>
      <c r="W289" s="59" t="s">
        <v>4</v>
      </c>
      <c r="X289" s="59" t="s">
        <v>4</v>
      </c>
      <c r="Y289" s="59" t="s">
        <v>4</v>
      </c>
      <c r="Z289" s="59" t="s">
        <v>4</v>
      </c>
      <c r="AA289" s="59" t="s">
        <v>4</v>
      </c>
      <c r="AB289" s="59" t="s">
        <v>4</v>
      </c>
      <c r="AC289" s="45">
        <f t="shared" si="48"/>
        <v>1.000000000000002</v>
      </c>
      <c r="AD289" s="43" t="s">
        <v>4</v>
      </c>
      <c r="AE289" s="43" t="s">
        <v>4</v>
      </c>
      <c r="AF289" s="97">
        <f t="shared" si="49"/>
        <v>1</v>
      </c>
      <c r="AG289" s="44">
        <f t="shared" si="50"/>
        <v>1.0000000000000004</v>
      </c>
      <c r="AH289" s="55">
        <f t="shared" si="51"/>
        <v>0</v>
      </c>
      <c r="AI289" s="55">
        <f>COUNTIF('Score BD'!$M289:$P289,"no")</f>
        <v>0</v>
      </c>
      <c r="AJ289" s="55">
        <f t="shared" si="52"/>
        <v>0</v>
      </c>
      <c r="AK289" s="55">
        <f t="shared" si="53"/>
        <v>0</v>
      </c>
      <c r="AL289" s="55">
        <f t="shared" si="54"/>
        <v>0</v>
      </c>
      <c r="AM289" s="104" t="s">
        <v>586</v>
      </c>
      <c r="AN289" s="55"/>
      <c r="AO289" s="61"/>
      <c r="AP289" s="61"/>
      <c r="AQ289" s="59" t="str">
        <f>IFERROR(_xlfn.XLOOKUP(Tabla1[[#This Row],[Cedula agente]],Lista!$B$2:$B$97,Lista!$G$2:$G$97)," ")</f>
        <v>Luisa Fernanda Benavides Castrillon</v>
      </c>
      <c r="AR289" s="59" t="s">
        <v>162</v>
      </c>
      <c r="AS289" s="55" t="str">
        <f>IFERROR(_xlfn.XLOOKUP(Tabla1[[#This Row],[Cedula agente]],Lista!$B$2:$B$97,Lista!$F$2:$F$97)," ")</f>
        <v>John Sebastian Roncancio Avendaño</v>
      </c>
      <c r="AT289" s="99">
        <v>0.95</v>
      </c>
      <c r="AU289" s="200">
        <f>+WEEKNUM('Score BD'!$H289)-WEEKNUM(DATE(YEAR('Score BD'!$H289),MONTH('Score BD'!$H289),1))+1</f>
        <v>4</v>
      </c>
    </row>
    <row r="290" spans="1:47" ht="17.45" customHeight="1" x14ac:dyDescent="0.3">
      <c r="A290" s="49" t="str">
        <f t="shared" si="44"/>
        <v>Ministerio de Educación Nacional</v>
      </c>
      <c r="B290" s="50">
        <f>+IFERROR(COUNTIF($J$3:J290,J290)," ")</f>
        <v>33</v>
      </c>
      <c r="C290" s="54" t="str">
        <f>+'Score BD'!$J290&amp;'Score BD'!$B290</f>
        <v>Erika Natalia Ramírez Herrera33</v>
      </c>
      <c r="D290" s="91" t="s">
        <v>148</v>
      </c>
      <c r="E290" s="92" t="s">
        <v>164</v>
      </c>
      <c r="F290" s="92" t="s">
        <v>212</v>
      </c>
      <c r="G290" s="60" t="str">
        <f t="shared" si="45"/>
        <v>Noviembre</v>
      </c>
      <c r="H290" s="67">
        <v>45981</v>
      </c>
      <c r="I290" s="243">
        <v>45980</v>
      </c>
      <c r="J290" s="57" t="s">
        <v>174</v>
      </c>
      <c r="K290" s="54">
        <f>IFERROR(VLOOKUP('Score BD'!$J290,Lista!A:B,2,0)," ")</f>
        <v>1032367072</v>
      </c>
      <c r="L290" s="61" t="s">
        <v>537</v>
      </c>
      <c r="M290" s="59" t="s">
        <v>4</v>
      </c>
      <c r="N290" s="59" t="s">
        <v>4</v>
      </c>
      <c r="O290" s="59" t="s">
        <v>4</v>
      </c>
      <c r="P290" s="59" t="s">
        <v>4</v>
      </c>
      <c r="Q290" s="96">
        <f t="shared" si="46"/>
        <v>1</v>
      </c>
      <c r="R290" s="59" t="s">
        <v>4</v>
      </c>
      <c r="S290" s="59" t="s">
        <v>4</v>
      </c>
      <c r="T290" s="59" t="s">
        <v>4</v>
      </c>
      <c r="U290" s="59" t="s">
        <v>4</v>
      </c>
      <c r="V290" s="45">
        <f t="shared" si="47"/>
        <v>1</v>
      </c>
      <c r="W290" s="59" t="s">
        <v>4</v>
      </c>
      <c r="X290" s="59" t="s">
        <v>4</v>
      </c>
      <c r="Y290" s="59" t="s">
        <v>4</v>
      </c>
      <c r="Z290" s="59" t="s">
        <v>4</v>
      </c>
      <c r="AA290" s="59" t="s">
        <v>4</v>
      </c>
      <c r="AB290" s="59" t="s">
        <v>4</v>
      </c>
      <c r="AC290" s="45">
        <f t="shared" si="48"/>
        <v>1.000000000000002</v>
      </c>
      <c r="AD290" s="43" t="s">
        <v>4</v>
      </c>
      <c r="AE290" s="43" t="s">
        <v>4</v>
      </c>
      <c r="AF290" s="97">
        <f t="shared" si="49"/>
        <v>1</v>
      </c>
      <c r="AG290" s="44">
        <f t="shared" si="50"/>
        <v>1.0000000000000004</v>
      </c>
      <c r="AH290" s="55">
        <f t="shared" si="51"/>
        <v>0</v>
      </c>
      <c r="AI290" s="55">
        <f>COUNTIF('Score BD'!$M290:$P290,"no")</f>
        <v>0</v>
      </c>
      <c r="AJ290" s="55">
        <f t="shared" si="52"/>
        <v>0</v>
      </c>
      <c r="AK290" s="55">
        <f t="shared" si="53"/>
        <v>0</v>
      </c>
      <c r="AL290" s="55">
        <f t="shared" si="54"/>
        <v>0</v>
      </c>
      <c r="AM290" s="104" t="s">
        <v>586</v>
      </c>
      <c r="AN290" s="55"/>
      <c r="AO290" s="61"/>
      <c r="AP290" s="61"/>
      <c r="AQ290" s="59" t="str">
        <f>IFERROR(_xlfn.XLOOKUP(Tabla1[[#This Row],[Cedula agente]],Lista!$B$2:$B$97,Lista!$G$2:$G$97)," ")</f>
        <v>Luisa Fernanda Benavides Castrillon</v>
      </c>
      <c r="AR290" s="59" t="s">
        <v>162</v>
      </c>
      <c r="AS290" s="55" t="str">
        <f>IFERROR(_xlfn.XLOOKUP(Tabla1[[#This Row],[Cedula agente]],Lista!$B$2:$B$97,Lista!$F$2:$F$97)," ")</f>
        <v>John Sebastian Roncancio Avendaño</v>
      </c>
      <c r="AT290" s="99">
        <v>0.95</v>
      </c>
      <c r="AU290" s="200">
        <f>+WEEKNUM('Score BD'!$H290)-WEEKNUM(DATE(YEAR('Score BD'!$H290),MONTH('Score BD'!$H290),1))+1</f>
        <v>4</v>
      </c>
    </row>
    <row r="291" spans="1:47" ht="17.45" customHeight="1" x14ac:dyDescent="0.3">
      <c r="A291" s="49" t="str">
        <f t="shared" si="44"/>
        <v>Ministerio de Educación Nacional</v>
      </c>
      <c r="B291" s="50">
        <f>+IFERROR(COUNTIF($J$3:J291,J291)," ")</f>
        <v>22</v>
      </c>
      <c r="C291" s="54" t="str">
        <f>+'Score BD'!$J291&amp;'Score BD'!$B291</f>
        <v>Ingrid Carolina Monsalve Quintero22</v>
      </c>
      <c r="D291" s="91" t="s">
        <v>148</v>
      </c>
      <c r="E291" s="92" t="s">
        <v>164</v>
      </c>
      <c r="F291" s="92" t="s">
        <v>212</v>
      </c>
      <c r="G291" s="60" t="str">
        <f t="shared" si="45"/>
        <v>Noviembre</v>
      </c>
      <c r="H291" s="67">
        <v>45981</v>
      </c>
      <c r="I291" s="243">
        <v>45980</v>
      </c>
      <c r="J291" s="57" t="s">
        <v>176</v>
      </c>
      <c r="K291" s="54">
        <f>IFERROR(VLOOKUP('Score BD'!$J291,Lista!A:B,2,0)," ")</f>
        <v>52805909</v>
      </c>
      <c r="L291" s="61" t="s">
        <v>538</v>
      </c>
      <c r="M291" s="59" t="s">
        <v>4</v>
      </c>
      <c r="N291" s="59" t="s">
        <v>4</v>
      </c>
      <c r="O291" s="59" t="s">
        <v>4</v>
      </c>
      <c r="P291" s="59" t="s">
        <v>4</v>
      </c>
      <c r="Q291" s="96">
        <f t="shared" si="46"/>
        <v>1</v>
      </c>
      <c r="R291" s="59" t="s">
        <v>4</v>
      </c>
      <c r="S291" s="59" t="s">
        <v>4</v>
      </c>
      <c r="T291" s="59" t="s">
        <v>4</v>
      </c>
      <c r="U291" s="59" t="s">
        <v>4</v>
      </c>
      <c r="V291" s="45">
        <f t="shared" si="47"/>
        <v>1</v>
      </c>
      <c r="W291" s="59" t="s">
        <v>4</v>
      </c>
      <c r="X291" s="59" t="s">
        <v>4</v>
      </c>
      <c r="Y291" s="59" t="s">
        <v>4</v>
      </c>
      <c r="Z291" s="59" t="s">
        <v>4</v>
      </c>
      <c r="AA291" s="59" t="s">
        <v>4</v>
      </c>
      <c r="AB291" s="59" t="s">
        <v>4</v>
      </c>
      <c r="AC291" s="45">
        <f t="shared" si="48"/>
        <v>1.000000000000002</v>
      </c>
      <c r="AD291" s="43" t="s">
        <v>4</v>
      </c>
      <c r="AE291" s="43" t="s">
        <v>4</v>
      </c>
      <c r="AF291" s="97">
        <f t="shared" si="49"/>
        <v>1</v>
      </c>
      <c r="AG291" s="44">
        <f t="shared" si="50"/>
        <v>1.0000000000000004</v>
      </c>
      <c r="AH291" s="55">
        <f t="shared" si="51"/>
        <v>0</v>
      </c>
      <c r="AI291" s="55">
        <f>COUNTIF('Score BD'!$M291:$P291,"no")</f>
        <v>0</v>
      </c>
      <c r="AJ291" s="55">
        <f t="shared" si="52"/>
        <v>0</v>
      </c>
      <c r="AK291" s="55">
        <f t="shared" si="53"/>
        <v>0</v>
      </c>
      <c r="AL291" s="55">
        <f t="shared" si="54"/>
        <v>0</v>
      </c>
      <c r="AM291" s="104" t="s">
        <v>586</v>
      </c>
      <c r="AN291" s="55"/>
      <c r="AO291" s="61"/>
      <c r="AP291" s="61"/>
      <c r="AQ291" s="59" t="str">
        <f>IFERROR(_xlfn.XLOOKUP(Tabla1[[#This Row],[Cedula agente]],Lista!$B$2:$B$97,Lista!$G$2:$G$97)," ")</f>
        <v>Luisa Fernanda Benavides Castrillon</v>
      </c>
      <c r="AR291" s="59" t="s">
        <v>162</v>
      </c>
      <c r="AS291" s="55" t="str">
        <f>IFERROR(_xlfn.XLOOKUP(Tabla1[[#This Row],[Cedula agente]],Lista!$B$2:$B$97,Lista!$F$2:$F$97)," ")</f>
        <v>John Sebastian Roncancio Avendaño</v>
      </c>
      <c r="AT291" s="99">
        <v>0.95</v>
      </c>
      <c r="AU291" s="200">
        <f>+WEEKNUM('Score BD'!$H291)-WEEKNUM(DATE(YEAR('Score BD'!$H291),MONTH('Score BD'!$H291),1))+1</f>
        <v>4</v>
      </c>
    </row>
    <row r="292" spans="1:47" ht="17.45" customHeight="1" x14ac:dyDescent="0.3">
      <c r="A292" s="49" t="str">
        <f t="shared" si="44"/>
        <v>Ministerio de Educación Nacional</v>
      </c>
      <c r="B292" s="50">
        <f>+IFERROR(COUNTIF($J$3:J292,J292)," ")</f>
        <v>23</v>
      </c>
      <c r="C292" s="54" t="str">
        <f>+'Score BD'!$J292&amp;'Score BD'!$B292</f>
        <v>Ingrid Carolina Monsalve Quintero23</v>
      </c>
      <c r="D292" s="91" t="s">
        <v>148</v>
      </c>
      <c r="E292" s="92" t="s">
        <v>164</v>
      </c>
      <c r="F292" s="92" t="s">
        <v>212</v>
      </c>
      <c r="G292" s="60" t="str">
        <f t="shared" si="45"/>
        <v>Noviembre</v>
      </c>
      <c r="H292" s="67">
        <v>45981</v>
      </c>
      <c r="I292" s="243">
        <v>45980</v>
      </c>
      <c r="J292" s="57" t="s">
        <v>176</v>
      </c>
      <c r="K292" s="54">
        <f>IFERROR(VLOOKUP('Score BD'!$J292,Lista!A:B,2,0)," ")</f>
        <v>52805909</v>
      </c>
      <c r="L292" s="61" t="s">
        <v>539</v>
      </c>
      <c r="M292" s="59" t="s">
        <v>4</v>
      </c>
      <c r="N292" s="59" t="s">
        <v>4</v>
      </c>
      <c r="O292" s="59" t="s">
        <v>4</v>
      </c>
      <c r="P292" s="59" t="s">
        <v>4</v>
      </c>
      <c r="Q292" s="96">
        <f t="shared" si="46"/>
        <v>1</v>
      </c>
      <c r="R292" s="59" t="s">
        <v>4</v>
      </c>
      <c r="S292" s="59" t="s">
        <v>4</v>
      </c>
      <c r="T292" s="59" t="s">
        <v>4</v>
      </c>
      <c r="U292" s="59" t="s">
        <v>4</v>
      </c>
      <c r="V292" s="45">
        <f t="shared" si="47"/>
        <v>1</v>
      </c>
      <c r="W292" s="59" t="s">
        <v>4</v>
      </c>
      <c r="X292" s="59" t="s">
        <v>4</v>
      </c>
      <c r="Y292" s="59" t="s">
        <v>4</v>
      </c>
      <c r="Z292" s="59" t="s">
        <v>4</v>
      </c>
      <c r="AA292" s="59" t="s">
        <v>4</v>
      </c>
      <c r="AB292" s="59" t="s">
        <v>4</v>
      </c>
      <c r="AC292" s="45">
        <f t="shared" si="48"/>
        <v>1.000000000000002</v>
      </c>
      <c r="AD292" s="43" t="s">
        <v>4</v>
      </c>
      <c r="AE292" s="43" t="s">
        <v>4</v>
      </c>
      <c r="AF292" s="97">
        <f t="shared" si="49"/>
        <v>1</v>
      </c>
      <c r="AG292" s="44">
        <f t="shared" si="50"/>
        <v>1.0000000000000004</v>
      </c>
      <c r="AH292" s="55">
        <f t="shared" si="51"/>
        <v>0</v>
      </c>
      <c r="AI292" s="55">
        <f>COUNTIF('Score BD'!$M292:$P292,"no")</f>
        <v>0</v>
      </c>
      <c r="AJ292" s="55">
        <f t="shared" si="52"/>
        <v>0</v>
      </c>
      <c r="AK292" s="55">
        <f t="shared" si="53"/>
        <v>0</v>
      </c>
      <c r="AL292" s="55">
        <f t="shared" si="54"/>
        <v>0</v>
      </c>
      <c r="AM292" s="104" t="s">
        <v>586</v>
      </c>
      <c r="AN292" s="55"/>
      <c r="AO292" s="61"/>
      <c r="AP292" s="61"/>
      <c r="AQ292" s="59" t="str">
        <f>IFERROR(_xlfn.XLOOKUP(Tabla1[[#This Row],[Cedula agente]],Lista!$B$2:$B$97,Lista!$G$2:$G$97)," ")</f>
        <v>Luisa Fernanda Benavides Castrillon</v>
      </c>
      <c r="AR292" s="59" t="s">
        <v>162</v>
      </c>
      <c r="AS292" s="55" t="str">
        <f>IFERROR(_xlfn.XLOOKUP(Tabla1[[#This Row],[Cedula agente]],Lista!$B$2:$B$97,Lista!$F$2:$F$97)," ")</f>
        <v>John Sebastian Roncancio Avendaño</v>
      </c>
      <c r="AT292" s="99">
        <v>0.95</v>
      </c>
      <c r="AU292" s="200">
        <f>+WEEKNUM('Score BD'!$H292)-WEEKNUM(DATE(YEAR('Score BD'!$H292),MONTH('Score BD'!$H292),1))+1</f>
        <v>4</v>
      </c>
    </row>
    <row r="293" spans="1:47" ht="17.45" customHeight="1" x14ac:dyDescent="0.3">
      <c r="A293" s="49" t="str">
        <f t="shared" si="44"/>
        <v>Ministerio de Educación Nacional</v>
      </c>
      <c r="B293" s="50">
        <f>+IFERROR(COUNTIF($J$3:J293,J293)," ")</f>
        <v>10</v>
      </c>
      <c r="C293" s="54" t="str">
        <f>+'Score BD'!$J293&amp;'Score BD'!$B293</f>
        <v>Jesus David Hernandez Fernandez de Castro10</v>
      </c>
      <c r="D293" s="91" t="s">
        <v>148</v>
      </c>
      <c r="E293" s="92" t="s">
        <v>208</v>
      </c>
      <c r="F293" s="92" t="s">
        <v>212</v>
      </c>
      <c r="G293" s="60" t="str">
        <f t="shared" si="45"/>
        <v>Noviembre</v>
      </c>
      <c r="H293" s="67">
        <v>45981</v>
      </c>
      <c r="I293" s="243">
        <v>45980</v>
      </c>
      <c r="J293" s="57" t="s">
        <v>177</v>
      </c>
      <c r="K293" s="54">
        <f>IFERROR(VLOOKUP('Score BD'!$J293,Lista!A:B,2,0)," ")</f>
        <v>1083038013</v>
      </c>
      <c r="L293" s="61" t="s">
        <v>540</v>
      </c>
      <c r="M293" s="59" t="s">
        <v>4</v>
      </c>
      <c r="N293" s="59" t="s">
        <v>4</v>
      </c>
      <c r="O293" s="59" t="s">
        <v>4</v>
      </c>
      <c r="P293" s="59" t="s">
        <v>4</v>
      </c>
      <c r="Q293" s="96">
        <f t="shared" si="46"/>
        <v>1</v>
      </c>
      <c r="R293" s="59" t="s">
        <v>4</v>
      </c>
      <c r="S293" s="59" t="s">
        <v>4</v>
      </c>
      <c r="T293" s="59" t="s">
        <v>4</v>
      </c>
      <c r="U293" s="59" t="s">
        <v>4</v>
      </c>
      <c r="V293" s="45">
        <f t="shared" si="47"/>
        <v>1</v>
      </c>
      <c r="W293" s="59" t="s">
        <v>4</v>
      </c>
      <c r="X293" s="59" t="s">
        <v>4</v>
      </c>
      <c r="Y293" s="59" t="s">
        <v>4</v>
      </c>
      <c r="Z293" s="59" t="s">
        <v>4</v>
      </c>
      <c r="AA293" s="59" t="s">
        <v>4</v>
      </c>
      <c r="AB293" s="59" t="s">
        <v>4</v>
      </c>
      <c r="AC293" s="45">
        <f t="shared" si="48"/>
        <v>1.000000000000002</v>
      </c>
      <c r="AD293" s="43" t="s">
        <v>4</v>
      </c>
      <c r="AE293" s="43" t="s">
        <v>4</v>
      </c>
      <c r="AF293" s="97">
        <f t="shared" si="49"/>
        <v>1</v>
      </c>
      <c r="AG293" s="44">
        <f t="shared" si="50"/>
        <v>1.0000000000000004</v>
      </c>
      <c r="AH293" s="55">
        <f t="shared" si="51"/>
        <v>0</v>
      </c>
      <c r="AI293" s="55">
        <f>COUNTIF('Score BD'!$M293:$P293,"no")</f>
        <v>0</v>
      </c>
      <c r="AJ293" s="55">
        <f t="shared" si="52"/>
        <v>0</v>
      </c>
      <c r="AK293" s="55">
        <f t="shared" si="53"/>
        <v>0</v>
      </c>
      <c r="AL293" s="55">
        <f t="shared" si="54"/>
        <v>0</v>
      </c>
      <c r="AM293" s="104" t="s">
        <v>586</v>
      </c>
      <c r="AN293" s="55"/>
      <c r="AO293" s="61"/>
      <c r="AP293" s="61"/>
      <c r="AQ293" s="59" t="str">
        <f>IFERROR(_xlfn.XLOOKUP(Tabla1[[#This Row],[Cedula agente]],Lista!$B$2:$B$97,Lista!$G$2:$G$97)," ")</f>
        <v>Luisa Fernanda Benavides Castrillon</v>
      </c>
      <c r="AR293" s="59" t="s">
        <v>162</v>
      </c>
      <c r="AS293" s="55" t="str">
        <f>IFERROR(_xlfn.XLOOKUP(Tabla1[[#This Row],[Cedula agente]],Lista!$B$2:$B$97,Lista!$F$2:$F$97)," ")</f>
        <v>John Sebastian Roncancio Avendaño</v>
      </c>
      <c r="AT293" s="99">
        <v>0.95</v>
      </c>
      <c r="AU293" s="200">
        <f>+WEEKNUM('Score BD'!$H293)-WEEKNUM(DATE(YEAR('Score BD'!$H293),MONTH('Score BD'!$H293),1))+1</f>
        <v>4</v>
      </c>
    </row>
    <row r="294" spans="1:47" ht="17.45" customHeight="1" x14ac:dyDescent="0.3">
      <c r="A294" s="49" t="str">
        <f t="shared" si="44"/>
        <v>Ministerio de Educación Nacional</v>
      </c>
      <c r="B294" s="50">
        <f>+IFERROR(COUNTIF($J$3:J294,J294)," ")</f>
        <v>13</v>
      </c>
      <c r="C294" s="54" t="str">
        <f>+'Score BD'!$J294&amp;'Score BD'!$B294</f>
        <v>Juan Sebastián Suárez Morales13</v>
      </c>
      <c r="D294" s="91" t="s">
        <v>148</v>
      </c>
      <c r="E294" s="92" t="s">
        <v>165</v>
      </c>
      <c r="F294" s="92" t="s">
        <v>212</v>
      </c>
      <c r="G294" s="60" t="str">
        <f t="shared" si="45"/>
        <v>Noviembre</v>
      </c>
      <c r="H294" s="67">
        <v>45981</v>
      </c>
      <c r="I294" s="243">
        <v>45980</v>
      </c>
      <c r="J294" s="57" t="s">
        <v>179</v>
      </c>
      <c r="K294" s="54">
        <f>IFERROR(VLOOKUP('Score BD'!$J294,Lista!A:B,2,0)," ")</f>
        <v>1030541070</v>
      </c>
      <c r="L294" s="61" t="s">
        <v>541</v>
      </c>
      <c r="M294" s="59" t="s">
        <v>4</v>
      </c>
      <c r="N294" s="59" t="s">
        <v>4</v>
      </c>
      <c r="O294" s="59" t="s">
        <v>4</v>
      </c>
      <c r="P294" s="59" t="s">
        <v>4</v>
      </c>
      <c r="Q294" s="96">
        <f t="shared" si="46"/>
        <v>1</v>
      </c>
      <c r="R294" s="59" t="s">
        <v>4</v>
      </c>
      <c r="S294" s="59" t="s">
        <v>4</v>
      </c>
      <c r="T294" s="59" t="s">
        <v>4</v>
      </c>
      <c r="U294" s="59" t="s">
        <v>4</v>
      </c>
      <c r="V294" s="45">
        <f t="shared" si="47"/>
        <v>1</v>
      </c>
      <c r="W294" s="59" t="s">
        <v>4</v>
      </c>
      <c r="X294" s="59" t="s">
        <v>4</v>
      </c>
      <c r="Y294" s="59" t="s">
        <v>4</v>
      </c>
      <c r="Z294" s="59" t="s">
        <v>4</v>
      </c>
      <c r="AA294" s="59" t="s">
        <v>4</v>
      </c>
      <c r="AB294" s="59" t="s">
        <v>4</v>
      </c>
      <c r="AC294" s="45">
        <f t="shared" si="48"/>
        <v>1.000000000000002</v>
      </c>
      <c r="AD294" s="43" t="s">
        <v>4</v>
      </c>
      <c r="AE294" s="43" t="s">
        <v>4</v>
      </c>
      <c r="AF294" s="97">
        <f t="shared" si="49"/>
        <v>1</v>
      </c>
      <c r="AG294" s="44">
        <f t="shared" si="50"/>
        <v>1.0000000000000004</v>
      </c>
      <c r="AH294" s="55">
        <f t="shared" si="51"/>
        <v>0</v>
      </c>
      <c r="AI294" s="55">
        <f>COUNTIF('Score BD'!$M294:$P294,"no")</f>
        <v>0</v>
      </c>
      <c r="AJ294" s="55">
        <f t="shared" si="52"/>
        <v>0</v>
      </c>
      <c r="AK294" s="55">
        <f t="shared" si="53"/>
        <v>0</v>
      </c>
      <c r="AL294" s="55">
        <f t="shared" si="54"/>
        <v>0</v>
      </c>
      <c r="AM294" s="104" t="s">
        <v>586</v>
      </c>
      <c r="AN294" s="55"/>
      <c r="AO294" s="61"/>
      <c r="AP294" s="61"/>
      <c r="AQ294" s="59" t="str">
        <f>IFERROR(_xlfn.XLOOKUP(Tabla1[[#This Row],[Cedula agente]],Lista!$B$2:$B$97,Lista!$G$2:$G$97)," ")</f>
        <v>Luisa Fernanda Benavides Castrillon</v>
      </c>
      <c r="AR294" s="59" t="s">
        <v>162</v>
      </c>
      <c r="AS294" s="55" t="str">
        <f>IFERROR(_xlfn.XLOOKUP(Tabla1[[#This Row],[Cedula agente]],Lista!$B$2:$B$97,Lista!$F$2:$F$97)," ")</f>
        <v>John Sebastian Roncancio Avendaño</v>
      </c>
      <c r="AT294" s="99">
        <v>0.95</v>
      </c>
      <c r="AU294" s="200">
        <f>+WEEKNUM('Score BD'!$H294)-WEEKNUM(DATE(YEAR('Score BD'!$H294),MONTH('Score BD'!$H294),1))+1</f>
        <v>4</v>
      </c>
    </row>
    <row r="295" spans="1:47" ht="17.45" customHeight="1" x14ac:dyDescent="0.3">
      <c r="A295" s="49" t="str">
        <f t="shared" si="44"/>
        <v>Ministerio de Educación Nacional</v>
      </c>
      <c r="B295" s="50">
        <f>+IFERROR(COUNTIF($J$3:J295,J295)," ")</f>
        <v>11</v>
      </c>
      <c r="C295" s="54" t="str">
        <f>+'Score BD'!$J295&amp;'Score BD'!$B295</f>
        <v>Laura Juliana Rueda Durán11</v>
      </c>
      <c r="D295" s="91" t="s">
        <v>148</v>
      </c>
      <c r="E295" s="92" t="s">
        <v>165</v>
      </c>
      <c r="F295" s="92" t="s">
        <v>212</v>
      </c>
      <c r="G295" s="60" t="str">
        <f t="shared" si="45"/>
        <v>Noviembre</v>
      </c>
      <c r="H295" s="67">
        <v>45981</v>
      </c>
      <c r="I295" s="243">
        <v>45980</v>
      </c>
      <c r="J295" s="57" t="s">
        <v>180</v>
      </c>
      <c r="K295" s="54">
        <f>IFERROR(VLOOKUP('Score BD'!$J295,Lista!A:B,2,0)," ")</f>
        <v>1026291591</v>
      </c>
      <c r="L295" s="61" t="s">
        <v>542</v>
      </c>
      <c r="M295" s="59" t="s">
        <v>4</v>
      </c>
      <c r="N295" s="59" t="s">
        <v>4</v>
      </c>
      <c r="O295" s="59" t="s">
        <v>4</v>
      </c>
      <c r="P295" s="59" t="s">
        <v>4</v>
      </c>
      <c r="Q295" s="96">
        <f t="shared" si="46"/>
        <v>1</v>
      </c>
      <c r="R295" s="59" t="s">
        <v>4</v>
      </c>
      <c r="S295" s="59" t="s">
        <v>4</v>
      </c>
      <c r="T295" s="59" t="s">
        <v>4</v>
      </c>
      <c r="U295" s="59" t="s">
        <v>4</v>
      </c>
      <c r="V295" s="45">
        <f t="shared" si="47"/>
        <v>1</v>
      </c>
      <c r="W295" s="59" t="s">
        <v>4</v>
      </c>
      <c r="X295" s="59" t="s">
        <v>4</v>
      </c>
      <c r="Y295" s="59" t="s">
        <v>4</v>
      </c>
      <c r="Z295" s="59" t="s">
        <v>4</v>
      </c>
      <c r="AA295" s="59" t="s">
        <v>4</v>
      </c>
      <c r="AB295" s="59" t="s">
        <v>4</v>
      </c>
      <c r="AC295" s="45">
        <f t="shared" si="48"/>
        <v>1.000000000000002</v>
      </c>
      <c r="AD295" s="43" t="s">
        <v>4</v>
      </c>
      <c r="AE295" s="43" t="s">
        <v>4</v>
      </c>
      <c r="AF295" s="97">
        <f t="shared" si="49"/>
        <v>1</v>
      </c>
      <c r="AG295" s="44">
        <f t="shared" si="50"/>
        <v>1.0000000000000004</v>
      </c>
      <c r="AH295" s="55">
        <f t="shared" si="51"/>
        <v>0</v>
      </c>
      <c r="AI295" s="55">
        <f>COUNTIF('Score BD'!$M295:$P295,"no")</f>
        <v>0</v>
      </c>
      <c r="AJ295" s="55">
        <f t="shared" si="52"/>
        <v>0</v>
      </c>
      <c r="AK295" s="55">
        <f t="shared" si="53"/>
        <v>0</v>
      </c>
      <c r="AL295" s="55">
        <f t="shared" si="54"/>
        <v>0</v>
      </c>
      <c r="AM295" s="104" t="s">
        <v>586</v>
      </c>
      <c r="AN295" s="55"/>
      <c r="AO295" s="61"/>
      <c r="AP295" s="61"/>
      <c r="AQ295" s="59" t="str">
        <f>IFERROR(_xlfn.XLOOKUP(Tabla1[[#This Row],[Cedula agente]],Lista!$B$2:$B$97,Lista!$G$2:$G$97)," ")</f>
        <v>Luisa Fernanda Benavides Castrillon</v>
      </c>
      <c r="AR295" s="59" t="s">
        <v>162</v>
      </c>
      <c r="AS295" s="55" t="str">
        <f>IFERROR(_xlfn.XLOOKUP(Tabla1[[#This Row],[Cedula agente]],Lista!$B$2:$B$97,Lista!$F$2:$F$97)," ")</f>
        <v>John Sebastian Roncancio Avendaño</v>
      </c>
      <c r="AT295" s="99">
        <v>0.95</v>
      </c>
      <c r="AU295" s="200">
        <f>+WEEKNUM('Score BD'!$H295)-WEEKNUM(DATE(YEAR('Score BD'!$H295),MONTH('Score BD'!$H295),1))+1</f>
        <v>4</v>
      </c>
    </row>
    <row r="296" spans="1:47" ht="17.45" customHeight="1" x14ac:dyDescent="0.3">
      <c r="A296" s="49" t="str">
        <f t="shared" si="44"/>
        <v>Ministerio de Educación Nacional</v>
      </c>
      <c r="B296" s="50">
        <f>+IFERROR(COUNTIF($J$3:J296,J296)," ")</f>
        <v>11</v>
      </c>
      <c r="C296" s="54" t="str">
        <f>+'Score BD'!$J296&amp;'Score BD'!$B296</f>
        <v>Laura Ximena Sandoval Galindo11</v>
      </c>
      <c r="D296" s="91" t="s">
        <v>148</v>
      </c>
      <c r="E296" s="92" t="s">
        <v>208</v>
      </c>
      <c r="F296" s="92" t="s">
        <v>212</v>
      </c>
      <c r="G296" s="60" t="str">
        <f t="shared" si="45"/>
        <v>Noviembre</v>
      </c>
      <c r="H296" s="67">
        <v>45981</v>
      </c>
      <c r="I296" s="243">
        <v>45980</v>
      </c>
      <c r="J296" s="57" t="s">
        <v>201</v>
      </c>
      <c r="K296" s="54">
        <f>IFERROR(VLOOKUP('Score BD'!$J296,Lista!A:B,2,0)," ")</f>
        <v>1030678660</v>
      </c>
      <c r="L296" s="61" t="s">
        <v>543</v>
      </c>
      <c r="M296" s="59" t="s">
        <v>4</v>
      </c>
      <c r="N296" s="59" t="s">
        <v>4</v>
      </c>
      <c r="O296" s="59" t="s">
        <v>4</v>
      </c>
      <c r="P296" s="59" t="s">
        <v>4</v>
      </c>
      <c r="Q296" s="96">
        <f t="shared" si="46"/>
        <v>1</v>
      </c>
      <c r="R296" s="59" t="s">
        <v>4</v>
      </c>
      <c r="S296" s="59" t="s">
        <v>4</v>
      </c>
      <c r="T296" s="59" t="s">
        <v>4</v>
      </c>
      <c r="U296" s="59" t="s">
        <v>4</v>
      </c>
      <c r="V296" s="45">
        <f t="shared" si="47"/>
        <v>1</v>
      </c>
      <c r="W296" s="59" t="s">
        <v>4</v>
      </c>
      <c r="X296" s="59" t="s">
        <v>4</v>
      </c>
      <c r="Y296" s="59" t="s">
        <v>4</v>
      </c>
      <c r="Z296" s="59" t="s">
        <v>4</v>
      </c>
      <c r="AA296" s="59" t="s">
        <v>4</v>
      </c>
      <c r="AB296" s="59" t="s">
        <v>4</v>
      </c>
      <c r="AC296" s="45">
        <f t="shared" si="48"/>
        <v>1.000000000000002</v>
      </c>
      <c r="AD296" s="43" t="s">
        <v>4</v>
      </c>
      <c r="AE296" s="43" t="s">
        <v>4</v>
      </c>
      <c r="AF296" s="97">
        <f t="shared" si="49"/>
        <v>1</v>
      </c>
      <c r="AG296" s="44">
        <f t="shared" si="50"/>
        <v>1.0000000000000004</v>
      </c>
      <c r="AH296" s="55">
        <f t="shared" si="51"/>
        <v>0</v>
      </c>
      <c r="AI296" s="55">
        <f>COUNTIF('Score BD'!$M296:$P296,"no")</f>
        <v>0</v>
      </c>
      <c r="AJ296" s="55">
        <f t="shared" si="52"/>
        <v>0</v>
      </c>
      <c r="AK296" s="55">
        <f t="shared" si="53"/>
        <v>0</v>
      </c>
      <c r="AL296" s="55">
        <f t="shared" si="54"/>
        <v>0</v>
      </c>
      <c r="AM296" s="104" t="s">
        <v>586</v>
      </c>
      <c r="AN296" s="55"/>
      <c r="AO296" s="61"/>
      <c r="AP296" s="61"/>
      <c r="AQ296" s="59" t="str">
        <f>IFERROR(_xlfn.XLOOKUP(Tabla1[[#This Row],[Cedula agente]],Lista!$B$2:$B$97,Lista!$G$2:$G$97)," ")</f>
        <v>Luisa Fernanda Benavides Castrillon</v>
      </c>
      <c r="AR296" s="59" t="s">
        <v>162</v>
      </c>
      <c r="AS296" s="55" t="str">
        <f>IFERROR(_xlfn.XLOOKUP(Tabla1[[#This Row],[Cedula agente]],Lista!$B$2:$B$97,Lista!$F$2:$F$97)," ")</f>
        <v>John Sebastian Roncancio Avendaño</v>
      </c>
      <c r="AT296" s="99">
        <v>0.95</v>
      </c>
      <c r="AU296" s="200">
        <f>+WEEKNUM('Score BD'!$H296)-WEEKNUM(DATE(YEAR('Score BD'!$H296),MONTH('Score BD'!$H296),1))+1</f>
        <v>4</v>
      </c>
    </row>
    <row r="297" spans="1:47" ht="17.45" customHeight="1" x14ac:dyDescent="0.3">
      <c r="A297" s="49" t="str">
        <f t="shared" si="44"/>
        <v>Ministerio de Educación Nacional</v>
      </c>
      <c r="B297" s="50">
        <f>+IFERROR(COUNTIF($J$3:J297,J297)," ")</f>
        <v>21</v>
      </c>
      <c r="C297" s="54" t="str">
        <f>+'Score BD'!$J297&amp;'Score BD'!$B297</f>
        <v>Maira Alejandra Rodriguez Losada21</v>
      </c>
      <c r="D297" s="91" t="s">
        <v>148</v>
      </c>
      <c r="E297" s="92" t="s">
        <v>164</v>
      </c>
      <c r="F297" s="92" t="s">
        <v>212</v>
      </c>
      <c r="G297" s="60" t="str">
        <f t="shared" si="45"/>
        <v>Noviembre</v>
      </c>
      <c r="H297" s="67">
        <v>45981</v>
      </c>
      <c r="I297" s="243">
        <v>45980</v>
      </c>
      <c r="J297" s="57" t="s">
        <v>204</v>
      </c>
      <c r="K297" s="54">
        <f>IFERROR(VLOOKUP('Score BD'!$J297,Lista!A:B,2,0)," ")</f>
        <v>1075224344</v>
      </c>
      <c r="L297" s="61" t="s">
        <v>544</v>
      </c>
      <c r="M297" s="59" t="s">
        <v>4</v>
      </c>
      <c r="N297" s="59" t="s">
        <v>4</v>
      </c>
      <c r="O297" s="59" t="s">
        <v>4</v>
      </c>
      <c r="P297" s="59" t="s">
        <v>4</v>
      </c>
      <c r="Q297" s="96">
        <f t="shared" si="46"/>
        <v>1</v>
      </c>
      <c r="R297" s="59" t="s">
        <v>4</v>
      </c>
      <c r="S297" s="59" t="s">
        <v>4</v>
      </c>
      <c r="T297" s="59" t="s">
        <v>4</v>
      </c>
      <c r="U297" s="59" t="s">
        <v>4</v>
      </c>
      <c r="V297" s="45">
        <f t="shared" si="47"/>
        <v>1</v>
      </c>
      <c r="W297" s="59" t="s">
        <v>4</v>
      </c>
      <c r="X297" s="59" t="s">
        <v>4</v>
      </c>
      <c r="Y297" s="59" t="s">
        <v>4</v>
      </c>
      <c r="Z297" s="59" t="s">
        <v>4</v>
      </c>
      <c r="AA297" s="59" t="s">
        <v>4</v>
      </c>
      <c r="AB297" s="59" t="s">
        <v>4</v>
      </c>
      <c r="AC297" s="45">
        <f t="shared" si="48"/>
        <v>1.000000000000002</v>
      </c>
      <c r="AD297" s="43" t="s">
        <v>4</v>
      </c>
      <c r="AE297" s="43" t="s">
        <v>4</v>
      </c>
      <c r="AF297" s="97">
        <f t="shared" si="49"/>
        <v>1</v>
      </c>
      <c r="AG297" s="44">
        <f t="shared" si="50"/>
        <v>1.0000000000000004</v>
      </c>
      <c r="AH297" s="55">
        <f t="shared" si="51"/>
        <v>0</v>
      </c>
      <c r="AI297" s="55">
        <f>COUNTIF('Score BD'!$M297:$P297,"no")</f>
        <v>0</v>
      </c>
      <c r="AJ297" s="55">
        <f t="shared" si="52"/>
        <v>0</v>
      </c>
      <c r="AK297" s="55">
        <f t="shared" si="53"/>
        <v>0</v>
      </c>
      <c r="AL297" s="55">
        <f t="shared" si="54"/>
        <v>0</v>
      </c>
      <c r="AM297" s="104" t="s">
        <v>586</v>
      </c>
      <c r="AN297" s="55"/>
      <c r="AO297" s="61"/>
      <c r="AP297" s="61"/>
      <c r="AQ297" s="59" t="str">
        <f>IFERROR(_xlfn.XLOOKUP(Tabla1[[#This Row],[Cedula agente]],Lista!$B$2:$B$97,Lista!$G$2:$G$97)," ")</f>
        <v>Luisa Fernanda Benavides Castrillon</v>
      </c>
      <c r="AR297" s="59" t="s">
        <v>162</v>
      </c>
      <c r="AS297" s="55" t="str">
        <f>IFERROR(_xlfn.XLOOKUP(Tabla1[[#This Row],[Cedula agente]],Lista!$B$2:$B$97,Lista!$F$2:$F$97)," ")</f>
        <v>John Sebastian Roncancio Avendaño</v>
      </c>
      <c r="AT297" s="99">
        <v>0.95</v>
      </c>
      <c r="AU297" s="200">
        <f>+WEEKNUM('Score BD'!$H298)-WEEKNUM(DATE(YEAR('Score BD'!$H298),MONTH('Score BD'!$H298),1))+1</f>
        <v>4</v>
      </c>
    </row>
    <row r="298" spans="1:47" ht="17.45" customHeight="1" x14ac:dyDescent="0.3">
      <c r="A298" s="49" t="str">
        <f t="shared" si="44"/>
        <v>Ministerio de Educación Nacional</v>
      </c>
      <c r="B298" s="50">
        <f>+IFERROR(COUNTIF($J$3:J298,J298)," ")</f>
        <v>22</v>
      </c>
      <c r="C298" s="54" t="str">
        <f>+'Score BD'!$J298&amp;'Score BD'!$B298</f>
        <v>Maira Alejandra Rodriguez Losada22</v>
      </c>
      <c r="D298" s="91" t="s">
        <v>148</v>
      </c>
      <c r="E298" s="92" t="s">
        <v>164</v>
      </c>
      <c r="F298" s="92" t="s">
        <v>212</v>
      </c>
      <c r="G298" s="60" t="str">
        <f t="shared" si="45"/>
        <v>Noviembre</v>
      </c>
      <c r="H298" s="67">
        <v>45981</v>
      </c>
      <c r="I298" s="243">
        <v>45980</v>
      </c>
      <c r="J298" s="57" t="s">
        <v>204</v>
      </c>
      <c r="K298" s="54">
        <f>IFERROR(VLOOKUP('Score BD'!$J298,Lista!A:B,2,0)," ")</f>
        <v>1075224344</v>
      </c>
      <c r="L298" s="61" t="s">
        <v>545</v>
      </c>
      <c r="M298" s="59" t="s">
        <v>4</v>
      </c>
      <c r="N298" s="59" t="s">
        <v>4</v>
      </c>
      <c r="O298" s="59" t="s">
        <v>4</v>
      </c>
      <c r="P298" s="59" t="s">
        <v>4</v>
      </c>
      <c r="Q298" s="96">
        <f t="shared" si="46"/>
        <v>1</v>
      </c>
      <c r="R298" s="59" t="s">
        <v>4</v>
      </c>
      <c r="S298" s="59" t="s">
        <v>4</v>
      </c>
      <c r="T298" s="59" t="s">
        <v>4</v>
      </c>
      <c r="U298" s="59" t="s">
        <v>4</v>
      </c>
      <c r="V298" s="45">
        <f t="shared" si="47"/>
        <v>1</v>
      </c>
      <c r="W298" s="59" t="s">
        <v>4</v>
      </c>
      <c r="X298" s="59" t="s">
        <v>4</v>
      </c>
      <c r="Y298" s="59" t="s">
        <v>4</v>
      </c>
      <c r="Z298" s="59" t="s">
        <v>4</v>
      </c>
      <c r="AA298" s="59" t="s">
        <v>4</v>
      </c>
      <c r="AB298" s="59" t="s">
        <v>4</v>
      </c>
      <c r="AC298" s="45">
        <f t="shared" si="48"/>
        <v>1.000000000000002</v>
      </c>
      <c r="AD298" s="43" t="s">
        <v>4</v>
      </c>
      <c r="AE298" s="43" t="s">
        <v>4</v>
      </c>
      <c r="AF298" s="97">
        <f t="shared" si="49"/>
        <v>1</v>
      </c>
      <c r="AG298" s="44">
        <f t="shared" si="50"/>
        <v>1.0000000000000004</v>
      </c>
      <c r="AH298" s="55">
        <f t="shared" si="51"/>
        <v>0</v>
      </c>
      <c r="AI298" s="55">
        <f>COUNTIF('Score BD'!$M298:$P298,"no")</f>
        <v>0</v>
      </c>
      <c r="AJ298" s="55">
        <f t="shared" si="52"/>
        <v>0</v>
      </c>
      <c r="AK298" s="55">
        <f t="shared" si="53"/>
        <v>0</v>
      </c>
      <c r="AL298" s="55">
        <f t="shared" si="54"/>
        <v>0</v>
      </c>
      <c r="AM298" s="104" t="s">
        <v>586</v>
      </c>
      <c r="AN298" s="55"/>
      <c r="AO298" s="61"/>
      <c r="AP298" s="61"/>
      <c r="AQ298" s="59" t="str">
        <f>IFERROR(_xlfn.XLOOKUP(Tabla1[[#This Row],[Cedula agente]],Lista!$B$2:$B$97,Lista!$G$2:$G$97)," ")</f>
        <v>Luisa Fernanda Benavides Castrillon</v>
      </c>
      <c r="AR298" s="59" t="s">
        <v>162</v>
      </c>
      <c r="AS298" s="55" t="str">
        <f>IFERROR(_xlfn.XLOOKUP(Tabla1[[#This Row],[Cedula agente]],Lista!$B$2:$B$97,Lista!$F$2:$F$97)," ")</f>
        <v>John Sebastian Roncancio Avendaño</v>
      </c>
      <c r="AT298" s="99">
        <v>0.95</v>
      </c>
      <c r="AU298" s="200">
        <f>+WEEKNUM('Score BD'!$H299)-WEEKNUM(DATE(YEAR('Score BD'!$H299),MONTH('Score BD'!$H299),1))+1</f>
        <v>4</v>
      </c>
    </row>
    <row r="299" spans="1:47" ht="17.45" customHeight="1" x14ac:dyDescent="0.3">
      <c r="A299" s="49" t="str">
        <f t="shared" si="44"/>
        <v>Ministerio de Educación Nacional</v>
      </c>
      <c r="B299" s="50">
        <f>+IFERROR(COUNTIF($J$3:J299,J299)," ")</f>
        <v>23</v>
      </c>
      <c r="C299" s="54" t="str">
        <f>+'Score BD'!$J299&amp;'Score BD'!$B299</f>
        <v>Maira Alejandra Rodriguez Losada23</v>
      </c>
      <c r="D299" s="91" t="s">
        <v>148</v>
      </c>
      <c r="E299" s="92" t="s">
        <v>164</v>
      </c>
      <c r="F299" s="92" t="s">
        <v>212</v>
      </c>
      <c r="G299" s="60" t="str">
        <f t="shared" si="45"/>
        <v>Noviembre</v>
      </c>
      <c r="H299" s="67">
        <v>45981</v>
      </c>
      <c r="I299" s="243">
        <v>45980</v>
      </c>
      <c r="J299" s="57" t="s">
        <v>204</v>
      </c>
      <c r="K299" s="54">
        <f>IFERROR(VLOOKUP('Score BD'!$J299,Lista!A:B,2,0)," ")</f>
        <v>1075224344</v>
      </c>
      <c r="L299" s="61" t="s">
        <v>546</v>
      </c>
      <c r="M299" s="59" t="s">
        <v>4</v>
      </c>
      <c r="N299" s="59" t="s">
        <v>4</v>
      </c>
      <c r="O299" s="59" t="s">
        <v>4</v>
      </c>
      <c r="P299" s="59" t="s">
        <v>4</v>
      </c>
      <c r="Q299" s="96">
        <f t="shared" si="46"/>
        <v>1</v>
      </c>
      <c r="R299" s="59" t="s">
        <v>4</v>
      </c>
      <c r="S299" s="59" t="s">
        <v>4</v>
      </c>
      <c r="T299" s="59" t="s">
        <v>4</v>
      </c>
      <c r="U299" s="59" t="s">
        <v>4</v>
      </c>
      <c r="V299" s="45">
        <f t="shared" si="47"/>
        <v>1</v>
      </c>
      <c r="W299" s="59" t="s">
        <v>4</v>
      </c>
      <c r="X299" s="59" t="s">
        <v>4</v>
      </c>
      <c r="Y299" s="59" t="s">
        <v>4</v>
      </c>
      <c r="Z299" s="59" t="s">
        <v>4</v>
      </c>
      <c r="AA299" s="59" t="s">
        <v>4</v>
      </c>
      <c r="AB299" s="59" t="s">
        <v>4</v>
      </c>
      <c r="AC299" s="45">
        <f t="shared" si="48"/>
        <v>1.000000000000002</v>
      </c>
      <c r="AD299" s="43" t="s">
        <v>4</v>
      </c>
      <c r="AE299" s="43" t="s">
        <v>4</v>
      </c>
      <c r="AF299" s="97">
        <f t="shared" si="49"/>
        <v>1</v>
      </c>
      <c r="AG299" s="44">
        <f t="shared" si="50"/>
        <v>1.0000000000000004</v>
      </c>
      <c r="AH299" s="55">
        <f t="shared" si="51"/>
        <v>0</v>
      </c>
      <c r="AI299" s="55">
        <f>COUNTIF('Score BD'!$M299:$P299,"no")</f>
        <v>0</v>
      </c>
      <c r="AJ299" s="55">
        <f t="shared" si="52"/>
        <v>0</v>
      </c>
      <c r="AK299" s="55">
        <f t="shared" si="53"/>
        <v>0</v>
      </c>
      <c r="AL299" s="55">
        <f t="shared" si="54"/>
        <v>0</v>
      </c>
      <c r="AM299" s="104" t="s">
        <v>586</v>
      </c>
      <c r="AN299" s="55"/>
      <c r="AO299" s="61"/>
      <c r="AP299" s="61"/>
      <c r="AQ299" s="59" t="str">
        <f>IFERROR(_xlfn.XLOOKUP(Tabla1[[#This Row],[Cedula agente]],Lista!$B$2:$B$97,Lista!$G$2:$G$97)," ")</f>
        <v>Luisa Fernanda Benavides Castrillon</v>
      </c>
      <c r="AR299" s="59" t="s">
        <v>162</v>
      </c>
      <c r="AS299" s="55" t="str">
        <f>IFERROR(_xlfn.XLOOKUP(Tabla1[[#This Row],[Cedula agente]],Lista!$B$2:$B$97,Lista!$F$2:$F$97)," ")</f>
        <v>John Sebastian Roncancio Avendaño</v>
      </c>
      <c r="AT299" s="99">
        <v>0.95</v>
      </c>
      <c r="AU299" s="200">
        <f>+WEEKNUM('Score BD'!$H300)-WEEKNUM(DATE(YEAR('Score BD'!$H300),MONTH('Score BD'!$H300),1))+1</f>
        <v>4</v>
      </c>
    </row>
    <row r="300" spans="1:47" ht="17.45" customHeight="1" x14ac:dyDescent="0.3">
      <c r="A300" s="49" t="str">
        <f t="shared" si="44"/>
        <v>Ministerio de Educación Nacional</v>
      </c>
      <c r="B300" s="50">
        <f>+IFERROR(COUNTIF($J$3:J300,J300)," ")</f>
        <v>21</v>
      </c>
      <c r="C300" s="54" t="str">
        <f>+'Score BD'!$J300&amp;'Score BD'!$B300</f>
        <v>María José Uribe Medina21</v>
      </c>
      <c r="D300" s="91" t="s">
        <v>148</v>
      </c>
      <c r="E300" s="92" t="s">
        <v>164</v>
      </c>
      <c r="F300" s="92" t="s">
        <v>212</v>
      </c>
      <c r="G300" s="60" t="str">
        <f t="shared" si="45"/>
        <v>Noviembre</v>
      </c>
      <c r="H300" s="67">
        <v>45981</v>
      </c>
      <c r="I300" s="243">
        <v>45980</v>
      </c>
      <c r="J300" s="57" t="s">
        <v>205</v>
      </c>
      <c r="K300" s="54">
        <f>IFERROR(VLOOKUP('Score BD'!$J300,Lista!A:B,2,0)," ")</f>
        <v>1121919150</v>
      </c>
      <c r="L300" s="61" t="s">
        <v>547</v>
      </c>
      <c r="M300" s="59" t="s">
        <v>4</v>
      </c>
      <c r="N300" s="59" t="s">
        <v>4</v>
      </c>
      <c r="O300" s="59" t="s">
        <v>4</v>
      </c>
      <c r="P300" s="59" t="s">
        <v>4</v>
      </c>
      <c r="Q300" s="96">
        <f t="shared" si="46"/>
        <v>1</v>
      </c>
      <c r="R300" s="59" t="s">
        <v>4</v>
      </c>
      <c r="S300" s="59" t="s">
        <v>4</v>
      </c>
      <c r="T300" s="59" t="s">
        <v>4</v>
      </c>
      <c r="U300" s="59" t="s">
        <v>4</v>
      </c>
      <c r="V300" s="45">
        <f t="shared" si="47"/>
        <v>1</v>
      </c>
      <c r="W300" s="59" t="s">
        <v>4</v>
      </c>
      <c r="X300" s="59" t="s">
        <v>4</v>
      </c>
      <c r="Y300" s="59" t="s">
        <v>4</v>
      </c>
      <c r="Z300" s="59" t="s">
        <v>4</v>
      </c>
      <c r="AA300" s="59" t="s">
        <v>4</v>
      </c>
      <c r="AB300" s="59" t="s">
        <v>4</v>
      </c>
      <c r="AC300" s="45">
        <f t="shared" si="48"/>
        <v>1.000000000000002</v>
      </c>
      <c r="AD300" s="43" t="s">
        <v>4</v>
      </c>
      <c r="AE300" s="43" t="s">
        <v>4</v>
      </c>
      <c r="AF300" s="97">
        <f t="shared" si="49"/>
        <v>1</v>
      </c>
      <c r="AG300" s="44">
        <f t="shared" si="50"/>
        <v>1.0000000000000004</v>
      </c>
      <c r="AH300" s="55">
        <f t="shared" si="51"/>
        <v>0</v>
      </c>
      <c r="AI300" s="55">
        <f>COUNTIF('Score BD'!$M300:$P300,"no")</f>
        <v>0</v>
      </c>
      <c r="AJ300" s="55">
        <f t="shared" si="52"/>
        <v>0</v>
      </c>
      <c r="AK300" s="55">
        <f t="shared" si="53"/>
        <v>0</v>
      </c>
      <c r="AL300" s="55">
        <f t="shared" si="54"/>
        <v>0</v>
      </c>
      <c r="AM300" s="104" t="s">
        <v>586</v>
      </c>
      <c r="AN300" s="55"/>
      <c r="AO300" s="61"/>
      <c r="AP300" s="61"/>
      <c r="AQ300" s="59" t="str">
        <f>IFERROR(_xlfn.XLOOKUP(Tabla1[[#This Row],[Cedula agente]],Lista!$B$2:$B$97,Lista!$G$2:$G$97)," ")</f>
        <v>Luisa Fernanda Benavides Castrillon</v>
      </c>
      <c r="AR300" s="59" t="s">
        <v>162</v>
      </c>
      <c r="AS300" s="55" t="str">
        <f>IFERROR(_xlfn.XLOOKUP(Tabla1[[#This Row],[Cedula agente]],Lista!$B$2:$B$97,Lista!$F$2:$F$97)," ")</f>
        <v>John Sebastian Roncancio Avendaño</v>
      </c>
      <c r="AT300" s="99">
        <v>0.95</v>
      </c>
      <c r="AU300" s="200">
        <f>+WEEKNUM('Score BD'!$H301)-WEEKNUM(DATE(YEAR('Score BD'!$H301),MONTH('Score BD'!$H301),1))+1</f>
        <v>4</v>
      </c>
    </row>
    <row r="301" spans="1:47" ht="17.45" customHeight="1" x14ac:dyDescent="0.3">
      <c r="A301" s="49" t="str">
        <f t="shared" si="44"/>
        <v>Ministerio de Educación Nacional</v>
      </c>
      <c r="B301" s="50">
        <f>+IFERROR(COUNTIF($J$3:J301,J301)," ")</f>
        <v>22</v>
      </c>
      <c r="C301" s="54" t="str">
        <f>+'Score BD'!$J301&amp;'Score BD'!$B301</f>
        <v>María José Uribe Medina22</v>
      </c>
      <c r="D301" s="91" t="s">
        <v>148</v>
      </c>
      <c r="E301" s="92" t="s">
        <v>164</v>
      </c>
      <c r="F301" s="92" t="s">
        <v>212</v>
      </c>
      <c r="G301" s="60" t="str">
        <f t="shared" si="45"/>
        <v>Noviembre</v>
      </c>
      <c r="H301" s="67">
        <v>45981</v>
      </c>
      <c r="I301" s="243">
        <v>45980</v>
      </c>
      <c r="J301" s="57" t="s">
        <v>205</v>
      </c>
      <c r="K301" s="54">
        <f>IFERROR(VLOOKUP('Score BD'!$J301,Lista!A:B,2,0)," ")</f>
        <v>1121919150</v>
      </c>
      <c r="L301" s="61" t="s">
        <v>548</v>
      </c>
      <c r="M301" s="59" t="s">
        <v>4</v>
      </c>
      <c r="N301" s="59" t="s">
        <v>4</v>
      </c>
      <c r="O301" s="59" t="s">
        <v>4</v>
      </c>
      <c r="P301" s="59" t="s">
        <v>4</v>
      </c>
      <c r="Q301" s="96">
        <f t="shared" si="46"/>
        <v>1</v>
      </c>
      <c r="R301" s="59" t="s">
        <v>4</v>
      </c>
      <c r="S301" s="59" t="s">
        <v>4</v>
      </c>
      <c r="T301" s="59" t="s">
        <v>4</v>
      </c>
      <c r="U301" s="59" t="s">
        <v>4</v>
      </c>
      <c r="V301" s="45">
        <f t="shared" si="47"/>
        <v>1</v>
      </c>
      <c r="W301" s="59" t="s">
        <v>4</v>
      </c>
      <c r="X301" s="59" t="s">
        <v>4</v>
      </c>
      <c r="Y301" s="59" t="s">
        <v>4</v>
      </c>
      <c r="Z301" s="59" t="s">
        <v>4</v>
      </c>
      <c r="AA301" s="59" t="s">
        <v>4</v>
      </c>
      <c r="AB301" s="59" t="s">
        <v>4</v>
      </c>
      <c r="AC301" s="45">
        <f t="shared" si="48"/>
        <v>1.000000000000002</v>
      </c>
      <c r="AD301" s="43" t="s">
        <v>4</v>
      </c>
      <c r="AE301" s="43" t="s">
        <v>4</v>
      </c>
      <c r="AF301" s="97">
        <f t="shared" si="49"/>
        <v>1</v>
      </c>
      <c r="AG301" s="44">
        <f t="shared" si="50"/>
        <v>1.0000000000000004</v>
      </c>
      <c r="AH301" s="55">
        <f t="shared" si="51"/>
        <v>0</v>
      </c>
      <c r="AI301" s="55">
        <f>COUNTIF('Score BD'!$M301:$P301,"no")</f>
        <v>0</v>
      </c>
      <c r="AJ301" s="55">
        <f t="shared" si="52"/>
        <v>0</v>
      </c>
      <c r="AK301" s="55">
        <f t="shared" si="53"/>
        <v>0</v>
      </c>
      <c r="AL301" s="55">
        <f t="shared" si="54"/>
        <v>0</v>
      </c>
      <c r="AM301" s="104" t="s">
        <v>586</v>
      </c>
      <c r="AN301" s="55"/>
      <c r="AO301" s="61"/>
      <c r="AP301" s="61"/>
      <c r="AQ301" s="59" t="str">
        <f>IFERROR(_xlfn.XLOOKUP(Tabla1[[#This Row],[Cedula agente]],Lista!$B$2:$B$97,Lista!$G$2:$G$97)," ")</f>
        <v>Luisa Fernanda Benavides Castrillon</v>
      </c>
      <c r="AR301" s="59" t="s">
        <v>162</v>
      </c>
      <c r="AS301" s="55" t="str">
        <f>IFERROR(_xlfn.XLOOKUP(Tabla1[[#This Row],[Cedula agente]],Lista!$B$2:$B$97,Lista!$F$2:$F$97)," ")</f>
        <v>John Sebastian Roncancio Avendaño</v>
      </c>
      <c r="AT301" s="99">
        <v>0.95</v>
      </c>
      <c r="AU301" s="200">
        <f>+WEEKNUM('Score BD'!$H302)-WEEKNUM(DATE(YEAR('Score BD'!$H302),MONTH('Score BD'!$H302),1))+1</f>
        <v>4</v>
      </c>
    </row>
    <row r="302" spans="1:47" ht="17.45" customHeight="1" x14ac:dyDescent="0.3">
      <c r="A302" s="49" t="str">
        <f t="shared" si="44"/>
        <v>Ministerio de Educación Nacional</v>
      </c>
      <c r="B302" s="50">
        <f>+IFERROR(COUNTIF($J$3:J302,J302)," ")</f>
        <v>21</v>
      </c>
      <c r="C302" s="54" t="str">
        <f>+'Score BD'!$J302&amp;'Score BD'!$B302</f>
        <v>Natalia Cañón Betancourt21</v>
      </c>
      <c r="D302" s="91" t="s">
        <v>148</v>
      </c>
      <c r="E302" s="92" t="s">
        <v>164</v>
      </c>
      <c r="F302" s="92" t="s">
        <v>212</v>
      </c>
      <c r="G302" s="60" t="str">
        <f t="shared" si="45"/>
        <v>Noviembre</v>
      </c>
      <c r="H302" s="67">
        <v>45981</v>
      </c>
      <c r="I302" s="243">
        <v>45980</v>
      </c>
      <c r="J302" s="57" t="s">
        <v>181</v>
      </c>
      <c r="K302" s="54">
        <f>IFERROR(VLOOKUP('Score BD'!$J302,Lista!A:B,2,0)," ")</f>
        <v>1000383417</v>
      </c>
      <c r="L302" s="61" t="s">
        <v>549</v>
      </c>
      <c r="M302" s="59" t="s">
        <v>4</v>
      </c>
      <c r="N302" s="59" t="s">
        <v>4</v>
      </c>
      <c r="O302" s="59" t="s">
        <v>4</v>
      </c>
      <c r="P302" s="59" t="s">
        <v>4</v>
      </c>
      <c r="Q302" s="96">
        <f t="shared" si="46"/>
        <v>1</v>
      </c>
      <c r="R302" s="59" t="s">
        <v>4</v>
      </c>
      <c r="S302" s="59" t="s">
        <v>4</v>
      </c>
      <c r="T302" s="59" t="s">
        <v>4</v>
      </c>
      <c r="U302" s="59" t="s">
        <v>4</v>
      </c>
      <c r="V302" s="45">
        <f t="shared" si="47"/>
        <v>1</v>
      </c>
      <c r="W302" s="59" t="s">
        <v>4</v>
      </c>
      <c r="X302" s="59" t="s">
        <v>4</v>
      </c>
      <c r="Y302" s="59" t="s">
        <v>4</v>
      </c>
      <c r="Z302" s="59" t="s">
        <v>4</v>
      </c>
      <c r="AA302" s="59" t="s">
        <v>4</v>
      </c>
      <c r="AB302" s="59" t="s">
        <v>4</v>
      </c>
      <c r="AC302" s="45">
        <f t="shared" si="48"/>
        <v>1.000000000000002</v>
      </c>
      <c r="AD302" s="43" t="s">
        <v>4</v>
      </c>
      <c r="AE302" s="43" t="s">
        <v>4</v>
      </c>
      <c r="AF302" s="97">
        <f t="shared" si="49"/>
        <v>1</v>
      </c>
      <c r="AG302" s="44">
        <f t="shared" si="50"/>
        <v>1.0000000000000004</v>
      </c>
      <c r="AH302" s="55">
        <f t="shared" si="51"/>
        <v>0</v>
      </c>
      <c r="AI302" s="55">
        <f>COUNTIF('Score BD'!$M302:$P302,"no")</f>
        <v>0</v>
      </c>
      <c r="AJ302" s="55">
        <f t="shared" si="52"/>
        <v>0</v>
      </c>
      <c r="AK302" s="55">
        <f t="shared" si="53"/>
        <v>0</v>
      </c>
      <c r="AL302" s="55">
        <f t="shared" si="54"/>
        <v>0</v>
      </c>
      <c r="AM302" s="104" t="s">
        <v>586</v>
      </c>
      <c r="AN302" s="55"/>
      <c r="AO302" s="61"/>
      <c r="AP302" s="61"/>
      <c r="AQ302" s="59" t="str">
        <f>IFERROR(_xlfn.XLOOKUP(Tabla1[[#This Row],[Cedula agente]],Lista!$B$2:$B$97,Lista!$G$2:$G$97)," ")</f>
        <v>Luisa Fernanda Benavides Castrillon</v>
      </c>
      <c r="AR302" s="59" t="s">
        <v>162</v>
      </c>
      <c r="AS302" s="55" t="str">
        <f>IFERROR(_xlfn.XLOOKUP(Tabla1[[#This Row],[Cedula agente]],Lista!$B$2:$B$97,Lista!$F$2:$F$97)," ")</f>
        <v>John Sebastian Roncancio Avendaño</v>
      </c>
      <c r="AT302" s="99">
        <v>0.95</v>
      </c>
      <c r="AU302" s="200">
        <f>+WEEKNUM('Score BD'!$H303)-WEEKNUM(DATE(YEAR('Score BD'!$H303),MONTH('Score BD'!$H303),1))+1</f>
        <v>4</v>
      </c>
    </row>
    <row r="303" spans="1:47" ht="17.45" customHeight="1" x14ac:dyDescent="0.3">
      <c r="A303" s="49" t="str">
        <f t="shared" si="44"/>
        <v>Ministerio de Educación Nacional</v>
      </c>
      <c r="B303" s="50">
        <f>+IFERROR(COUNTIF($J$3:J303,J303)," ")</f>
        <v>22</v>
      </c>
      <c r="C303" s="54" t="str">
        <f>+'Score BD'!$J303&amp;'Score BD'!$B303</f>
        <v>Natalia Cañón Betancourt22</v>
      </c>
      <c r="D303" s="91" t="s">
        <v>148</v>
      </c>
      <c r="E303" s="92" t="s">
        <v>164</v>
      </c>
      <c r="F303" s="92" t="s">
        <v>212</v>
      </c>
      <c r="G303" s="60" t="str">
        <f t="shared" si="45"/>
        <v>Noviembre</v>
      </c>
      <c r="H303" s="67">
        <v>45981</v>
      </c>
      <c r="I303" s="243">
        <v>45980</v>
      </c>
      <c r="J303" s="57" t="s">
        <v>181</v>
      </c>
      <c r="K303" s="54">
        <f>IFERROR(VLOOKUP('Score BD'!$J303,Lista!A:B,2,0)," ")</f>
        <v>1000383417</v>
      </c>
      <c r="L303" s="61" t="s">
        <v>550</v>
      </c>
      <c r="M303" s="59" t="s">
        <v>4</v>
      </c>
      <c r="N303" s="59" t="s">
        <v>4</v>
      </c>
      <c r="O303" s="59" t="s">
        <v>4</v>
      </c>
      <c r="P303" s="59" t="s">
        <v>4</v>
      </c>
      <c r="Q303" s="96">
        <f t="shared" si="46"/>
        <v>1</v>
      </c>
      <c r="R303" s="59" t="s">
        <v>4</v>
      </c>
      <c r="S303" s="59" t="s">
        <v>4</v>
      </c>
      <c r="T303" s="59" t="s">
        <v>4</v>
      </c>
      <c r="U303" s="59" t="s">
        <v>4</v>
      </c>
      <c r="V303" s="45">
        <f t="shared" si="47"/>
        <v>1</v>
      </c>
      <c r="W303" s="59" t="s">
        <v>4</v>
      </c>
      <c r="X303" s="59" t="s">
        <v>4</v>
      </c>
      <c r="Y303" s="59" t="s">
        <v>4</v>
      </c>
      <c r="Z303" s="59" t="s">
        <v>4</v>
      </c>
      <c r="AA303" s="59" t="s">
        <v>4</v>
      </c>
      <c r="AB303" s="59" t="s">
        <v>4</v>
      </c>
      <c r="AC303" s="45">
        <f t="shared" si="48"/>
        <v>1.000000000000002</v>
      </c>
      <c r="AD303" s="43" t="s">
        <v>4</v>
      </c>
      <c r="AE303" s="43" t="s">
        <v>4</v>
      </c>
      <c r="AF303" s="97">
        <f t="shared" si="49"/>
        <v>1</v>
      </c>
      <c r="AG303" s="44">
        <f t="shared" si="50"/>
        <v>1.0000000000000004</v>
      </c>
      <c r="AH303" s="55">
        <f t="shared" si="51"/>
        <v>0</v>
      </c>
      <c r="AI303" s="55">
        <f>COUNTIF('Score BD'!$M303:$P303,"no")</f>
        <v>0</v>
      </c>
      <c r="AJ303" s="55">
        <f t="shared" si="52"/>
        <v>0</v>
      </c>
      <c r="AK303" s="55">
        <f t="shared" si="53"/>
        <v>0</v>
      </c>
      <c r="AL303" s="55">
        <f t="shared" si="54"/>
        <v>0</v>
      </c>
      <c r="AM303" s="104" t="s">
        <v>586</v>
      </c>
      <c r="AN303" s="55"/>
      <c r="AO303" s="61"/>
      <c r="AP303" s="61"/>
      <c r="AQ303" s="59" t="str">
        <f>IFERROR(_xlfn.XLOOKUP(Tabla1[[#This Row],[Cedula agente]],Lista!$B$2:$B$97,Lista!$G$2:$G$97)," ")</f>
        <v>Luisa Fernanda Benavides Castrillon</v>
      </c>
      <c r="AR303" s="59" t="s">
        <v>162</v>
      </c>
      <c r="AS303" s="55" t="str">
        <f>IFERROR(_xlfn.XLOOKUP(Tabla1[[#This Row],[Cedula agente]],Lista!$B$2:$B$97,Lista!$F$2:$F$97)," ")</f>
        <v>John Sebastian Roncancio Avendaño</v>
      </c>
      <c r="AT303" s="99">
        <v>0.95</v>
      </c>
      <c r="AU303" s="200">
        <f>+WEEKNUM('Score BD'!$H304)-WEEKNUM(DATE(YEAR('Score BD'!$H304),MONTH('Score BD'!$H304),1))+1</f>
        <v>4</v>
      </c>
    </row>
    <row r="304" spans="1:47" ht="17.45" customHeight="1" x14ac:dyDescent="0.3">
      <c r="A304" s="49" t="str">
        <f t="shared" si="44"/>
        <v>Ministerio de Educación Nacional</v>
      </c>
      <c r="B304" s="50">
        <f>+IFERROR(COUNTIF($J$3:J304,J304)," ")</f>
        <v>11</v>
      </c>
      <c r="C304" s="54" t="str">
        <f>+'Score BD'!$J304&amp;'Score BD'!$B304</f>
        <v>Quira Alejandra Herrera Camelo11</v>
      </c>
      <c r="D304" s="91" t="s">
        <v>148</v>
      </c>
      <c r="E304" s="92" t="s">
        <v>208</v>
      </c>
      <c r="F304" s="92" t="s">
        <v>212</v>
      </c>
      <c r="G304" s="60" t="str">
        <f t="shared" si="45"/>
        <v>Noviembre</v>
      </c>
      <c r="H304" s="67">
        <v>45981</v>
      </c>
      <c r="I304" s="243">
        <v>45980</v>
      </c>
      <c r="J304" s="57" t="s">
        <v>182</v>
      </c>
      <c r="K304" s="54">
        <f>IFERROR(VLOOKUP('Score BD'!$J304,Lista!A:B,2,0)," ")</f>
        <v>1010214168</v>
      </c>
      <c r="L304" s="61" t="s">
        <v>551</v>
      </c>
      <c r="M304" s="59" t="s">
        <v>4</v>
      </c>
      <c r="N304" s="59" t="s">
        <v>4</v>
      </c>
      <c r="O304" s="59" t="s">
        <v>4</v>
      </c>
      <c r="P304" s="59" t="s">
        <v>5</v>
      </c>
      <c r="Q304" s="96">
        <f t="shared" si="46"/>
        <v>0.75</v>
      </c>
      <c r="R304" s="59" t="s">
        <v>4</v>
      </c>
      <c r="S304" s="59" t="s">
        <v>4</v>
      </c>
      <c r="T304" s="59" t="s">
        <v>4</v>
      </c>
      <c r="U304" s="59" t="s">
        <v>4</v>
      </c>
      <c r="V304" s="45">
        <f t="shared" si="47"/>
        <v>1</v>
      </c>
      <c r="W304" s="59" t="s">
        <v>4</v>
      </c>
      <c r="X304" s="59" t="s">
        <v>4</v>
      </c>
      <c r="Y304" s="59" t="s">
        <v>4</v>
      </c>
      <c r="Z304" s="59" t="s">
        <v>4</v>
      </c>
      <c r="AA304" s="59" t="s">
        <v>4</v>
      </c>
      <c r="AB304" s="59" t="s">
        <v>4</v>
      </c>
      <c r="AC304" s="45">
        <f t="shared" si="48"/>
        <v>1.000000000000002</v>
      </c>
      <c r="AD304" s="43" t="s">
        <v>4</v>
      </c>
      <c r="AE304" s="43" t="s">
        <v>4</v>
      </c>
      <c r="AF304" s="97">
        <f t="shared" si="49"/>
        <v>1</v>
      </c>
      <c r="AG304" s="44">
        <f t="shared" si="50"/>
        <v>0.93750000000000044</v>
      </c>
      <c r="AH304" s="55">
        <f t="shared" si="51"/>
        <v>0</v>
      </c>
      <c r="AI304" s="55">
        <f>COUNTIF('Score BD'!$M304:$P304,"no")</f>
        <v>1</v>
      </c>
      <c r="AJ304" s="55">
        <f t="shared" si="52"/>
        <v>0</v>
      </c>
      <c r="AK304" s="55">
        <f t="shared" si="53"/>
        <v>0</v>
      </c>
      <c r="AL304" s="55">
        <f t="shared" si="54"/>
        <v>0</v>
      </c>
      <c r="AM304" s="59" t="s">
        <v>577</v>
      </c>
      <c r="AN304" s="55" t="s">
        <v>575</v>
      </c>
      <c r="AO304" s="102" t="s">
        <v>270</v>
      </c>
      <c r="AP304" s="261" t="s">
        <v>589</v>
      </c>
      <c r="AQ304" s="59" t="str">
        <f>IFERROR(_xlfn.XLOOKUP(Tabla1[[#This Row],[Cedula agente]],Lista!$B$2:$B$97,Lista!$G$2:$G$97)," ")</f>
        <v>Luisa Fernanda Benavides Castrillon</v>
      </c>
      <c r="AR304" s="59" t="s">
        <v>162</v>
      </c>
      <c r="AS304" s="55" t="str">
        <f>IFERROR(_xlfn.XLOOKUP(Tabla1[[#This Row],[Cedula agente]],Lista!$B$2:$B$97,Lista!$F$2:$F$97)," ")</f>
        <v>John Sebastian Roncancio Avendaño</v>
      </c>
      <c r="AT304" s="99">
        <v>0.95</v>
      </c>
      <c r="AU304" s="200">
        <f>+WEEKNUM('Score BD'!$H305)-WEEKNUM(DATE(YEAR('Score BD'!$H305),MONTH('Score BD'!$H305),1))+1</f>
        <v>4</v>
      </c>
    </row>
    <row r="305" spans="1:47" ht="17.45" customHeight="1" x14ac:dyDescent="0.3">
      <c r="A305" s="49" t="str">
        <f t="shared" si="44"/>
        <v>Ministerio de Educación Nacional</v>
      </c>
      <c r="B305" s="50">
        <f>+IFERROR(COUNTIF($J$3:J305,J305)," ")</f>
        <v>12</v>
      </c>
      <c r="C305" s="54" t="str">
        <f>+'Score BD'!$J305&amp;'Score BD'!$B305</f>
        <v>Valentina Castillo Rondón12</v>
      </c>
      <c r="D305" s="91" t="s">
        <v>148</v>
      </c>
      <c r="E305" s="92" t="s">
        <v>165</v>
      </c>
      <c r="F305" s="92" t="s">
        <v>212</v>
      </c>
      <c r="G305" s="60" t="str">
        <f t="shared" si="45"/>
        <v>Noviembre</v>
      </c>
      <c r="H305" s="67">
        <v>45981</v>
      </c>
      <c r="I305" s="243">
        <v>45980</v>
      </c>
      <c r="J305" s="57" t="s">
        <v>183</v>
      </c>
      <c r="K305" s="54">
        <f>IFERROR(VLOOKUP('Score BD'!$J305,Lista!A:B,2,0)," ")</f>
        <v>1121950095</v>
      </c>
      <c r="L305" s="61" t="s">
        <v>552</v>
      </c>
      <c r="M305" s="59" t="s">
        <v>4</v>
      </c>
      <c r="N305" s="59" t="s">
        <v>4</v>
      </c>
      <c r="O305" s="59" t="s">
        <v>4</v>
      </c>
      <c r="P305" s="59" t="s">
        <v>4</v>
      </c>
      <c r="Q305" s="96">
        <f t="shared" si="46"/>
        <v>1</v>
      </c>
      <c r="R305" s="59" t="s">
        <v>4</v>
      </c>
      <c r="S305" s="59" t="s">
        <v>4</v>
      </c>
      <c r="T305" s="59" t="s">
        <v>4</v>
      </c>
      <c r="U305" s="59" t="s">
        <v>4</v>
      </c>
      <c r="V305" s="45">
        <f t="shared" si="47"/>
        <v>1</v>
      </c>
      <c r="W305" s="59" t="s">
        <v>4</v>
      </c>
      <c r="X305" s="59" t="s">
        <v>4</v>
      </c>
      <c r="Y305" s="59" t="s">
        <v>4</v>
      </c>
      <c r="Z305" s="59" t="s">
        <v>4</v>
      </c>
      <c r="AA305" s="59" t="s">
        <v>4</v>
      </c>
      <c r="AB305" s="59" t="s">
        <v>4</v>
      </c>
      <c r="AC305" s="45">
        <f t="shared" si="48"/>
        <v>1.000000000000002</v>
      </c>
      <c r="AD305" s="43" t="s">
        <v>4</v>
      </c>
      <c r="AE305" s="43" t="s">
        <v>4</v>
      </c>
      <c r="AF305" s="97">
        <f t="shared" si="49"/>
        <v>1</v>
      </c>
      <c r="AG305" s="44">
        <f t="shared" si="50"/>
        <v>1.0000000000000004</v>
      </c>
      <c r="AH305" s="55">
        <f t="shared" si="51"/>
        <v>0</v>
      </c>
      <c r="AI305" s="55">
        <f>COUNTIF('Score BD'!$M305:$P305,"no")</f>
        <v>0</v>
      </c>
      <c r="AJ305" s="55">
        <f t="shared" si="52"/>
        <v>0</v>
      </c>
      <c r="AK305" s="55">
        <f t="shared" si="53"/>
        <v>0</v>
      </c>
      <c r="AL305" s="55">
        <f t="shared" si="54"/>
        <v>0</v>
      </c>
      <c r="AM305" s="104" t="s">
        <v>586</v>
      </c>
      <c r="AN305" s="55"/>
      <c r="AO305" s="61"/>
      <c r="AP305" s="61"/>
      <c r="AQ305" s="59" t="str">
        <f>IFERROR(_xlfn.XLOOKUP(Tabla1[[#This Row],[Cedula agente]],Lista!$B$2:$B$97,Lista!$G$2:$G$97)," ")</f>
        <v>Luisa Fernanda Benavides Castrillon</v>
      </c>
      <c r="AR305" s="59" t="s">
        <v>162</v>
      </c>
      <c r="AS305" s="55" t="str">
        <f>IFERROR(_xlfn.XLOOKUP(Tabla1[[#This Row],[Cedula agente]],Lista!$B$2:$B$97,Lista!$F$2:$F$97)," ")</f>
        <v>John Sebastian Roncancio Avendaño</v>
      </c>
      <c r="AT305" s="99">
        <v>0.95</v>
      </c>
      <c r="AU305" s="200">
        <f>+WEEKNUM('Score BD'!$H306)-WEEKNUM(DATE(YEAR('Score BD'!$H306),MONTH('Score BD'!$H306),1))+1</f>
        <v>4</v>
      </c>
    </row>
    <row r="306" spans="1:47" ht="17.45" customHeight="1" x14ac:dyDescent="0.3">
      <c r="A306" s="49" t="str">
        <f t="shared" si="44"/>
        <v>Ministerio de Educación Nacional</v>
      </c>
      <c r="B306" s="50">
        <f>+IFERROR(COUNTIF($J$3:J306,J306)," ")</f>
        <v>14</v>
      </c>
      <c r="C306" s="54" t="str">
        <f>+'Score BD'!$J306&amp;'Score BD'!$B306</f>
        <v>Yenny Maribel Duran Ovejero14</v>
      </c>
      <c r="D306" s="91" t="s">
        <v>148</v>
      </c>
      <c r="E306" s="92" t="s">
        <v>165</v>
      </c>
      <c r="F306" s="92" t="s">
        <v>212</v>
      </c>
      <c r="G306" s="60" t="str">
        <f t="shared" si="45"/>
        <v>Noviembre</v>
      </c>
      <c r="H306" s="67">
        <v>45981</v>
      </c>
      <c r="I306" s="243">
        <v>45980</v>
      </c>
      <c r="J306" s="57" t="s">
        <v>206</v>
      </c>
      <c r="K306" s="54">
        <f>IFERROR(VLOOKUP('Score BD'!$J306,Lista!A:B,2,0)," ")</f>
        <v>52962387</v>
      </c>
      <c r="L306" s="61" t="s">
        <v>553</v>
      </c>
      <c r="M306" s="59" t="s">
        <v>4</v>
      </c>
      <c r="N306" s="59" t="s">
        <v>4</v>
      </c>
      <c r="O306" s="59" t="s">
        <v>4</v>
      </c>
      <c r="P306" s="59" t="s">
        <v>4</v>
      </c>
      <c r="Q306" s="96">
        <f t="shared" si="46"/>
        <v>1</v>
      </c>
      <c r="R306" s="59" t="s">
        <v>4</v>
      </c>
      <c r="S306" s="59" t="s">
        <v>4</v>
      </c>
      <c r="T306" s="59" t="s">
        <v>4</v>
      </c>
      <c r="U306" s="59" t="s">
        <v>4</v>
      </c>
      <c r="V306" s="45">
        <f t="shared" si="47"/>
        <v>1</v>
      </c>
      <c r="W306" s="59" t="s">
        <v>4</v>
      </c>
      <c r="X306" s="59" t="s">
        <v>4</v>
      </c>
      <c r="Y306" s="59" t="s">
        <v>4</v>
      </c>
      <c r="Z306" s="59" t="s">
        <v>4</v>
      </c>
      <c r="AA306" s="59" t="s">
        <v>4</v>
      </c>
      <c r="AB306" s="59" t="s">
        <v>4</v>
      </c>
      <c r="AC306" s="45">
        <f t="shared" si="48"/>
        <v>1.000000000000002</v>
      </c>
      <c r="AD306" s="43" t="s">
        <v>4</v>
      </c>
      <c r="AE306" s="43" t="s">
        <v>4</v>
      </c>
      <c r="AF306" s="97">
        <f t="shared" si="49"/>
        <v>1</v>
      </c>
      <c r="AG306" s="44">
        <f t="shared" si="50"/>
        <v>1.0000000000000004</v>
      </c>
      <c r="AH306" s="55">
        <f t="shared" si="51"/>
        <v>0</v>
      </c>
      <c r="AI306" s="55">
        <f>COUNTIF('Score BD'!$M306:$P306,"no")</f>
        <v>0</v>
      </c>
      <c r="AJ306" s="55">
        <f t="shared" si="52"/>
        <v>0</v>
      </c>
      <c r="AK306" s="55">
        <f t="shared" si="53"/>
        <v>0</v>
      </c>
      <c r="AL306" s="55">
        <f t="shared" si="54"/>
        <v>0</v>
      </c>
      <c r="AM306" s="104" t="s">
        <v>586</v>
      </c>
      <c r="AN306" s="55"/>
      <c r="AO306" s="61"/>
      <c r="AP306" s="61"/>
      <c r="AQ306" s="59" t="str">
        <f>IFERROR(_xlfn.XLOOKUP(Tabla1[[#This Row],[Cedula agente]],Lista!$B$2:$B$97,Lista!$G$2:$G$97)," ")</f>
        <v>Luisa Fernanda Benavides Castrillon</v>
      </c>
      <c r="AR306" s="59" t="s">
        <v>162</v>
      </c>
      <c r="AS306" s="55" t="str">
        <f>IFERROR(_xlfn.XLOOKUP(Tabla1[[#This Row],[Cedula agente]],Lista!$B$2:$B$97,Lista!$F$2:$F$97)," ")</f>
        <v>John Sebastian Roncancio Avendaño</v>
      </c>
      <c r="AT306" s="99">
        <v>0.95</v>
      </c>
      <c r="AU306" s="200">
        <f>+WEEKNUM('Score BD'!$H307)-WEEKNUM(DATE(YEAR('Score BD'!$H307),MONTH('Score BD'!$H307),1))+1</f>
        <v>4</v>
      </c>
    </row>
    <row r="307" spans="1:47" ht="17.45" customHeight="1" x14ac:dyDescent="0.3">
      <c r="A307" s="49" t="str">
        <f t="shared" si="44"/>
        <v>Ministerio de Educación Nacional</v>
      </c>
      <c r="B307" s="50">
        <f>+IFERROR(COUNTIF($J$3:J307,J307)," ")</f>
        <v>33</v>
      </c>
      <c r="C307" s="54" t="str">
        <f>+'Score BD'!$J307&amp;'Score BD'!$B307</f>
        <v>Ana Graciela Barbosa Villalobos33</v>
      </c>
      <c r="D307" s="91" t="s">
        <v>148</v>
      </c>
      <c r="E307" s="92" t="s">
        <v>210</v>
      </c>
      <c r="F307" s="92" t="s">
        <v>212</v>
      </c>
      <c r="G307" s="60" t="str">
        <f t="shared" si="45"/>
        <v>Noviembre</v>
      </c>
      <c r="H307" s="242">
        <v>45982</v>
      </c>
      <c r="I307" s="243">
        <v>45981</v>
      </c>
      <c r="J307" s="57" t="s">
        <v>171</v>
      </c>
      <c r="K307" s="54">
        <f>IFERROR(VLOOKUP('Score BD'!$J307,Lista!A:B,2,0)," ")</f>
        <v>1026264261</v>
      </c>
      <c r="L307" s="61" t="s">
        <v>554</v>
      </c>
      <c r="M307" s="59" t="s">
        <v>4</v>
      </c>
      <c r="N307" s="59" t="s">
        <v>4</v>
      </c>
      <c r="O307" s="59" t="s">
        <v>4</v>
      </c>
      <c r="P307" s="59" t="s">
        <v>4</v>
      </c>
      <c r="Q307" s="96">
        <f t="shared" si="46"/>
        <v>1</v>
      </c>
      <c r="R307" s="59" t="s">
        <v>4</v>
      </c>
      <c r="S307" s="59" t="s">
        <v>4</v>
      </c>
      <c r="T307" s="59" t="s">
        <v>4</v>
      </c>
      <c r="U307" s="59" t="s">
        <v>4</v>
      </c>
      <c r="V307" s="45">
        <f t="shared" si="47"/>
        <v>1</v>
      </c>
      <c r="W307" s="59" t="s">
        <v>4</v>
      </c>
      <c r="X307" s="59" t="s">
        <v>4</v>
      </c>
      <c r="Y307" s="59" t="s">
        <v>4</v>
      </c>
      <c r="Z307" s="59" t="s">
        <v>4</v>
      </c>
      <c r="AA307" s="59" t="s">
        <v>4</v>
      </c>
      <c r="AB307" s="59" t="s">
        <v>4</v>
      </c>
      <c r="AC307" s="45">
        <f t="shared" si="48"/>
        <v>1.000000000000002</v>
      </c>
      <c r="AD307" s="43" t="s">
        <v>4</v>
      </c>
      <c r="AE307" s="43" t="s">
        <v>4</v>
      </c>
      <c r="AF307" s="97">
        <f t="shared" si="49"/>
        <v>1</v>
      </c>
      <c r="AG307" s="44">
        <f t="shared" si="50"/>
        <v>1.0000000000000004</v>
      </c>
      <c r="AH307" s="55">
        <f t="shared" si="51"/>
        <v>0</v>
      </c>
      <c r="AI307" s="55">
        <f>COUNTIF('Score BD'!$M307:$P307,"no")</f>
        <v>0</v>
      </c>
      <c r="AJ307" s="55">
        <f t="shared" si="52"/>
        <v>0</v>
      </c>
      <c r="AK307" s="55">
        <f t="shared" si="53"/>
        <v>0</v>
      </c>
      <c r="AL307" s="55">
        <f t="shared" si="54"/>
        <v>0</v>
      </c>
      <c r="AM307" s="157" t="s">
        <v>587</v>
      </c>
      <c r="AN307" s="55"/>
      <c r="AO307" s="61"/>
      <c r="AP307" s="61"/>
      <c r="AQ307" s="59" t="str">
        <f>IFERROR(_xlfn.XLOOKUP(Tabla1[[#This Row],[Cedula agente]],Lista!$B$2:$B$97,Lista!$G$2:$G$97)," ")</f>
        <v>Luisa Fernanda Benavides Castrillon</v>
      </c>
      <c r="AR307" s="59" t="s">
        <v>162</v>
      </c>
      <c r="AS307" s="55" t="str">
        <f>IFERROR(_xlfn.XLOOKUP(Tabla1[[#This Row],[Cedula agente]],Lista!$B$2:$B$97,Lista!$F$2:$F$97)," ")</f>
        <v>John Sebastian Roncancio Avendaño</v>
      </c>
      <c r="AT307" s="99">
        <v>0.95</v>
      </c>
      <c r="AU307" s="200">
        <f>+WEEKNUM('Score BD'!$H308)-WEEKNUM(DATE(YEAR('Score BD'!$H308),MONTH('Score BD'!$H308),1))+1</f>
        <v>4</v>
      </c>
    </row>
    <row r="308" spans="1:47" ht="17.45" customHeight="1" x14ac:dyDescent="0.3">
      <c r="A308" s="49" t="str">
        <f t="shared" si="44"/>
        <v>Ministerio de Educación Nacional</v>
      </c>
      <c r="B308" s="50">
        <f>+IFERROR(COUNTIF($J$3:J308,J308)," ")</f>
        <v>34</v>
      </c>
      <c r="C308" s="54" t="str">
        <f>+'Score BD'!$J308&amp;'Score BD'!$B308</f>
        <v>Ana Graciela Barbosa Villalobos34</v>
      </c>
      <c r="D308" s="91" t="s">
        <v>148</v>
      </c>
      <c r="E308" s="92" t="s">
        <v>210</v>
      </c>
      <c r="F308" s="92" t="s">
        <v>212</v>
      </c>
      <c r="G308" s="60" t="str">
        <f t="shared" si="45"/>
        <v>Noviembre</v>
      </c>
      <c r="H308" s="242">
        <v>45982</v>
      </c>
      <c r="I308" s="243">
        <v>45981</v>
      </c>
      <c r="J308" s="57" t="s">
        <v>171</v>
      </c>
      <c r="K308" s="54">
        <f>IFERROR(VLOOKUP('Score BD'!$J308,Lista!A:B,2,0)," ")</f>
        <v>1026264261</v>
      </c>
      <c r="L308" s="61" t="s">
        <v>555</v>
      </c>
      <c r="M308" s="59" t="s">
        <v>4</v>
      </c>
      <c r="N308" s="59" t="s">
        <v>4</v>
      </c>
      <c r="O308" s="59" t="s">
        <v>4</v>
      </c>
      <c r="P308" s="59" t="s">
        <v>4</v>
      </c>
      <c r="Q308" s="96">
        <f t="shared" si="46"/>
        <v>1</v>
      </c>
      <c r="R308" s="59" t="s">
        <v>4</v>
      </c>
      <c r="S308" s="59" t="s">
        <v>4</v>
      </c>
      <c r="T308" s="59" t="s">
        <v>4</v>
      </c>
      <c r="U308" s="59" t="s">
        <v>4</v>
      </c>
      <c r="V308" s="45">
        <f t="shared" si="47"/>
        <v>1</v>
      </c>
      <c r="W308" s="59" t="s">
        <v>4</v>
      </c>
      <c r="X308" s="59" t="s">
        <v>4</v>
      </c>
      <c r="Y308" s="59" t="s">
        <v>4</v>
      </c>
      <c r="Z308" s="59" t="s">
        <v>4</v>
      </c>
      <c r="AA308" s="59" t="s">
        <v>4</v>
      </c>
      <c r="AB308" s="59" t="s">
        <v>4</v>
      </c>
      <c r="AC308" s="45">
        <f t="shared" si="48"/>
        <v>1.000000000000002</v>
      </c>
      <c r="AD308" s="43" t="s">
        <v>4</v>
      </c>
      <c r="AE308" s="43" t="s">
        <v>4</v>
      </c>
      <c r="AF308" s="97">
        <f t="shared" si="49"/>
        <v>1</v>
      </c>
      <c r="AG308" s="44">
        <f t="shared" si="50"/>
        <v>1.0000000000000004</v>
      </c>
      <c r="AH308" s="55">
        <f t="shared" si="51"/>
        <v>0</v>
      </c>
      <c r="AI308" s="55">
        <f>COUNTIF('Score BD'!$M308:$P308,"no")</f>
        <v>0</v>
      </c>
      <c r="AJ308" s="55">
        <f t="shared" si="52"/>
        <v>0</v>
      </c>
      <c r="AK308" s="55">
        <f t="shared" si="53"/>
        <v>0</v>
      </c>
      <c r="AL308" s="55">
        <f t="shared" si="54"/>
        <v>0</v>
      </c>
      <c r="AM308" s="157" t="s">
        <v>587</v>
      </c>
      <c r="AN308" s="55"/>
      <c r="AO308" s="61"/>
      <c r="AP308" s="61"/>
      <c r="AQ308" s="59" t="str">
        <f>IFERROR(_xlfn.XLOOKUP(Tabla1[[#This Row],[Cedula agente]],Lista!$B$2:$B$97,Lista!$G$2:$G$97)," ")</f>
        <v>Luisa Fernanda Benavides Castrillon</v>
      </c>
      <c r="AR308" s="59" t="s">
        <v>162</v>
      </c>
      <c r="AS308" s="55" t="str">
        <f>IFERROR(_xlfn.XLOOKUP(Tabla1[[#This Row],[Cedula agente]],Lista!$B$2:$B$97,Lista!$F$2:$F$97)," ")</f>
        <v>John Sebastian Roncancio Avendaño</v>
      </c>
      <c r="AT308" s="99">
        <v>0.95</v>
      </c>
      <c r="AU308" s="200">
        <f>+WEEKNUM('Score BD'!$I309)-WEEKNUM(DATE(YEAR('Score BD'!$I309),MONTH('Score BD'!$I309),1))+1</f>
        <v>4</v>
      </c>
    </row>
    <row r="309" spans="1:47" ht="17.45" customHeight="1" x14ac:dyDescent="0.3">
      <c r="A309" s="49" t="str">
        <f t="shared" si="44"/>
        <v>Ministerio de Educación Nacional</v>
      </c>
      <c r="B309" s="50">
        <f>+IFERROR(COUNTIF($J$3:J309,J309)," ")</f>
        <v>35</v>
      </c>
      <c r="C309" s="54" t="str">
        <f>+'Score BD'!$J309&amp;'Score BD'!$B309</f>
        <v>Ana Graciela Barbosa Villalobos35</v>
      </c>
      <c r="D309" s="91" t="s">
        <v>148</v>
      </c>
      <c r="E309" s="92" t="s">
        <v>210</v>
      </c>
      <c r="F309" s="92" t="s">
        <v>212</v>
      </c>
      <c r="G309" s="60" t="str">
        <f t="shared" si="45"/>
        <v>Noviembre</v>
      </c>
      <c r="H309" s="242">
        <v>45982</v>
      </c>
      <c r="I309" s="243">
        <v>45981</v>
      </c>
      <c r="J309" s="57" t="s">
        <v>171</v>
      </c>
      <c r="K309" s="54">
        <f>IFERROR(VLOOKUP('Score BD'!$J309,Lista!A:B,2,0)," ")</f>
        <v>1026264261</v>
      </c>
      <c r="L309" s="61" t="s">
        <v>556</v>
      </c>
      <c r="M309" s="59" t="s">
        <v>4</v>
      </c>
      <c r="N309" s="59" t="s">
        <v>4</v>
      </c>
      <c r="O309" s="59" t="s">
        <v>4</v>
      </c>
      <c r="P309" s="59" t="s">
        <v>4</v>
      </c>
      <c r="Q309" s="96">
        <f t="shared" si="46"/>
        <v>1</v>
      </c>
      <c r="R309" s="59" t="s">
        <v>4</v>
      </c>
      <c r="S309" s="59" t="s">
        <v>4</v>
      </c>
      <c r="T309" s="59" t="s">
        <v>4</v>
      </c>
      <c r="U309" s="59" t="s">
        <v>4</v>
      </c>
      <c r="V309" s="45">
        <f t="shared" si="47"/>
        <v>1</v>
      </c>
      <c r="W309" s="59" t="s">
        <v>4</v>
      </c>
      <c r="X309" s="59" t="s">
        <v>4</v>
      </c>
      <c r="Y309" s="59" t="s">
        <v>4</v>
      </c>
      <c r="Z309" s="59" t="s">
        <v>4</v>
      </c>
      <c r="AA309" s="59" t="s">
        <v>4</v>
      </c>
      <c r="AB309" s="59" t="s">
        <v>4</v>
      </c>
      <c r="AC309" s="45">
        <f t="shared" si="48"/>
        <v>1.000000000000002</v>
      </c>
      <c r="AD309" s="43" t="s">
        <v>4</v>
      </c>
      <c r="AE309" s="43" t="s">
        <v>4</v>
      </c>
      <c r="AF309" s="97">
        <f t="shared" si="49"/>
        <v>1</v>
      </c>
      <c r="AG309" s="44">
        <f t="shared" si="50"/>
        <v>1.0000000000000004</v>
      </c>
      <c r="AH309" s="55">
        <f t="shared" si="51"/>
        <v>0</v>
      </c>
      <c r="AI309" s="55">
        <f>COUNTIF('Score BD'!$M309:$P309,"no")</f>
        <v>0</v>
      </c>
      <c r="AJ309" s="55">
        <f t="shared" si="52"/>
        <v>0</v>
      </c>
      <c r="AK309" s="55">
        <f t="shared" si="53"/>
        <v>0</v>
      </c>
      <c r="AL309" s="55">
        <f t="shared" si="54"/>
        <v>0</v>
      </c>
      <c r="AM309" s="157" t="s">
        <v>587</v>
      </c>
      <c r="AN309" s="55"/>
      <c r="AO309" s="61"/>
      <c r="AP309" s="61"/>
      <c r="AQ309" s="59" t="str">
        <f>IFERROR(_xlfn.XLOOKUP(Tabla1[[#This Row],[Cedula agente]],Lista!$B$2:$B$97,Lista!$G$2:$G$97)," ")</f>
        <v>Luisa Fernanda Benavides Castrillon</v>
      </c>
      <c r="AR309" s="59" t="s">
        <v>162</v>
      </c>
      <c r="AS309" s="55" t="str">
        <f>IFERROR(_xlfn.XLOOKUP(Tabla1[[#This Row],[Cedula agente]],Lista!$B$2:$B$97,Lista!$F$2:$F$97)," ")</f>
        <v>John Sebastian Roncancio Avendaño</v>
      </c>
      <c r="AT309" s="99">
        <v>0.95</v>
      </c>
      <c r="AU309" s="200">
        <f>+WEEKNUM('Score BD'!$I310)-WEEKNUM(DATE(YEAR('Score BD'!$I310),MONTH('Score BD'!$I310),1))+1</f>
        <v>4</v>
      </c>
    </row>
    <row r="310" spans="1:47" ht="17.45" customHeight="1" x14ac:dyDescent="0.3">
      <c r="A310" s="49" t="str">
        <f t="shared" si="44"/>
        <v>Ministerio de Educación Nacional</v>
      </c>
      <c r="B310" s="50">
        <f>+IFERROR(COUNTIF($J$3:J310,J310)," ")</f>
        <v>9</v>
      </c>
      <c r="C310" s="54" t="str">
        <f>+'Score BD'!$J310&amp;'Score BD'!$B310</f>
        <v>Andrés Felipe Silva Martínez9</v>
      </c>
      <c r="D310" s="91" t="s">
        <v>148</v>
      </c>
      <c r="E310" s="92" t="s">
        <v>208</v>
      </c>
      <c r="F310" s="92" t="s">
        <v>105</v>
      </c>
      <c r="G310" s="60" t="str">
        <f t="shared" si="45"/>
        <v>Noviembre</v>
      </c>
      <c r="H310" s="242">
        <v>45982</v>
      </c>
      <c r="I310" s="243">
        <v>45981</v>
      </c>
      <c r="J310" s="57" t="s">
        <v>228</v>
      </c>
      <c r="K310" s="54">
        <f>IFERROR(VLOOKUP('Score BD'!$J310,Lista!A:B,2,0)," ")</f>
        <v>1120362660</v>
      </c>
      <c r="L310" s="61" t="s">
        <v>557</v>
      </c>
      <c r="M310" s="59" t="s">
        <v>4</v>
      </c>
      <c r="N310" s="59" t="s">
        <v>4</v>
      </c>
      <c r="O310" s="59" t="s">
        <v>4</v>
      </c>
      <c r="P310" s="59" t="s">
        <v>4</v>
      </c>
      <c r="Q310" s="96">
        <f t="shared" si="46"/>
        <v>1</v>
      </c>
      <c r="R310" s="59" t="s">
        <v>4</v>
      </c>
      <c r="S310" s="59" t="s">
        <v>4</v>
      </c>
      <c r="T310" s="59" t="s">
        <v>4</v>
      </c>
      <c r="U310" s="59" t="s">
        <v>4</v>
      </c>
      <c r="V310" s="45">
        <f t="shared" si="47"/>
        <v>1</v>
      </c>
      <c r="W310" s="59" t="s">
        <v>4</v>
      </c>
      <c r="X310" s="59" t="s">
        <v>4</v>
      </c>
      <c r="Y310" s="59" t="s">
        <v>4</v>
      </c>
      <c r="Z310" s="59" t="s">
        <v>4</v>
      </c>
      <c r="AA310" s="59" t="s">
        <v>4</v>
      </c>
      <c r="AB310" s="59" t="s">
        <v>4</v>
      </c>
      <c r="AC310" s="45">
        <f t="shared" si="48"/>
        <v>1.000000000000002</v>
      </c>
      <c r="AD310" s="43" t="s">
        <v>4</v>
      </c>
      <c r="AE310" s="43" t="s">
        <v>4</v>
      </c>
      <c r="AF310" s="97">
        <f t="shared" si="49"/>
        <v>1</v>
      </c>
      <c r="AG310" s="44">
        <f t="shared" si="50"/>
        <v>1.0000000000000004</v>
      </c>
      <c r="AH310" s="55">
        <f t="shared" si="51"/>
        <v>0</v>
      </c>
      <c r="AI310" s="55">
        <f>COUNTIF('Score BD'!$M310:$P310,"no")</f>
        <v>0</v>
      </c>
      <c r="AJ310" s="55">
        <f t="shared" si="52"/>
        <v>0</v>
      </c>
      <c r="AK310" s="55">
        <f t="shared" si="53"/>
        <v>0</v>
      </c>
      <c r="AL310" s="55">
        <f t="shared" si="54"/>
        <v>0</v>
      </c>
      <c r="AM310" s="157" t="s">
        <v>587</v>
      </c>
      <c r="AN310" s="55"/>
      <c r="AO310" s="61"/>
      <c r="AP310" s="61"/>
      <c r="AQ310" s="59" t="str">
        <f>IFERROR(_xlfn.XLOOKUP(Tabla1[[#This Row],[Cedula agente]],Lista!$B$2:$B$97,Lista!$G$2:$G$97)," ")</f>
        <v>Luisa Fernanda Benavides Castrillon</v>
      </c>
      <c r="AR310" s="59" t="s">
        <v>162</v>
      </c>
      <c r="AS310" s="55" t="str">
        <f>IFERROR(_xlfn.XLOOKUP(Tabla1[[#This Row],[Cedula agente]],Lista!$B$2:$B$97,Lista!$F$2:$F$97)," ")</f>
        <v>John Sebastian Roncancio Avendaño</v>
      </c>
      <c r="AT310" s="99">
        <v>0.95</v>
      </c>
      <c r="AU310" s="200">
        <f>+WEEKNUM('Score BD'!$I311)-WEEKNUM(DATE(YEAR('Score BD'!$I311),MONTH('Score BD'!$I311),1))+1</f>
        <v>4</v>
      </c>
    </row>
    <row r="311" spans="1:47" ht="17.45" customHeight="1" x14ac:dyDescent="0.3">
      <c r="A311" s="49" t="str">
        <f t="shared" si="44"/>
        <v>Ministerio de Educación Nacional</v>
      </c>
      <c r="B311" s="50">
        <f>+IFERROR(COUNTIF($J$3:J311,J311)," ")</f>
        <v>13</v>
      </c>
      <c r="C311" s="54" t="str">
        <f>+'Score BD'!$J311&amp;'Score BD'!$B311</f>
        <v>Cesar Rodrigo García13</v>
      </c>
      <c r="D311" s="91" t="s">
        <v>148</v>
      </c>
      <c r="E311" s="92" t="s">
        <v>165</v>
      </c>
      <c r="F311" s="92" t="s">
        <v>212</v>
      </c>
      <c r="G311" s="60" t="str">
        <f t="shared" si="45"/>
        <v>Noviembre</v>
      </c>
      <c r="H311" s="242">
        <v>45982</v>
      </c>
      <c r="I311" s="243">
        <v>45981</v>
      </c>
      <c r="J311" s="57" t="s">
        <v>172</v>
      </c>
      <c r="K311" s="54">
        <f>IFERROR(VLOOKUP('Score BD'!$J311,Lista!A:B,2,0)," ")</f>
        <v>1069257937</v>
      </c>
      <c r="L311" s="61" t="s">
        <v>558</v>
      </c>
      <c r="M311" s="59" t="s">
        <v>4</v>
      </c>
      <c r="N311" s="59" t="s">
        <v>4</v>
      </c>
      <c r="O311" s="59" t="s">
        <v>4</v>
      </c>
      <c r="P311" s="59" t="s">
        <v>4</v>
      </c>
      <c r="Q311" s="96">
        <f t="shared" si="46"/>
        <v>1</v>
      </c>
      <c r="R311" s="59" t="s">
        <v>4</v>
      </c>
      <c r="S311" s="59" t="s">
        <v>4</v>
      </c>
      <c r="T311" s="59" t="s">
        <v>4</v>
      </c>
      <c r="U311" s="59" t="s">
        <v>4</v>
      </c>
      <c r="V311" s="45">
        <f t="shared" si="47"/>
        <v>1</v>
      </c>
      <c r="W311" s="59" t="s">
        <v>4</v>
      </c>
      <c r="X311" s="59" t="s">
        <v>4</v>
      </c>
      <c r="Y311" s="59" t="s">
        <v>4</v>
      </c>
      <c r="Z311" s="59" t="s">
        <v>4</v>
      </c>
      <c r="AA311" s="59" t="s">
        <v>4</v>
      </c>
      <c r="AB311" s="59" t="s">
        <v>4</v>
      </c>
      <c r="AC311" s="45">
        <f t="shared" si="48"/>
        <v>1.000000000000002</v>
      </c>
      <c r="AD311" s="43" t="s">
        <v>4</v>
      </c>
      <c r="AE311" s="43" t="s">
        <v>4</v>
      </c>
      <c r="AF311" s="97">
        <f t="shared" si="49"/>
        <v>1</v>
      </c>
      <c r="AG311" s="44">
        <f t="shared" si="50"/>
        <v>1.0000000000000004</v>
      </c>
      <c r="AH311" s="55">
        <f t="shared" si="51"/>
        <v>0</v>
      </c>
      <c r="AI311" s="55">
        <f>COUNTIF('Score BD'!$M311:$P311,"no")</f>
        <v>0</v>
      </c>
      <c r="AJ311" s="55">
        <f t="shared" si="52"/>
        <v>0</v>
      </c>
      <c r="AK311" s="55">
        <f t="shared" si="53"/>
        <v>0</v>
      </c>
      <c r="AL311" s="55">
        <f t="shared" si="54"/>
        <v>0</v>
      </c>
      <c r="AM311" s="157" t="s">
        <v>587</v>
      </c>
      <c r="AN311" s="55"/>
      <c r="AO311" s="61"/>
      <c r="AP311" s="61"/>
      <c r="AQ311" s="59" t="str">
        <f>IFERROR(_xlfn.XLOOKUP(Tabla1[[#This Row],[Cedula agente]],Lista!$B$2:$B$97,Lista!$G$2:$G$97)," ")</f>
        <v>Luisa Fernanda Benavides Castrillon</v>
      </c>
      <c r="AR311" s="59" t="s">
        <v>162</v>
      </c>
      <c r="AS311" s="55" t="str">
        <f>IFERROR(_xlfn.XLOOKUP(Tabla1[[#This Row],[Cedula agente]],Lista!$B$2:$B$97,Lista!$F$2:$F$97)," ")</f>
        <v>John Sebastian Roncancio Avendaño</v>
      </c>
      <c r="AT311" s="99">
        <v>0.95</v>
      </c>
      <c r="AU311" s="200">
        <f>+WEEKNUM('Score BD'!$I312)-WEEKNUM(DATE(YEAR('Score BD'!$I312),MONTH('Score BD'!$I312),1))+1</f>
        <v>4</v>
      </c>
    </row>
    <row r="312" spans="1:47" ht="17.45" customHeight="1" x14ac:dyDescent="0.3">
      <c r="A312" s="49" t="str">
        <f t="shared" si="44"/>
        <v>Ministerio de Educación Nacional</v>
      </c>
      <c r="B312" s="50">
        <f>+IFERROR(COUNTIF($J$3:J312,J312)," ")</f>
        <v>12</v>
      </c>
      <c r="C312" s="54" t="str">
        <f>+'Score BD'!$J312&amp;'Score BD'!$B312</f>
        <v>Cristian Enrique Benitez Rodriguez12</v>
      </c>
      <c r="D312" s="91" t="s">
        <v>148</v>
      </c>
      <c r="E312" s="92" t="s">
        <v>165</v>
      </c>
      <c r="F312" s="92" t="s">
        <v>212</v>
      </c>
      <c r="G312" s="60" t="str">
        <f t="shared" si="45"/>
        <v>Noviembre</v>
      </c>
      <c r="H312" s="242">
        <v>45982</v>
      </c>
      <c r="I312" s="243">
        <v>45981</v>
      </c>
      <c r="J312" s="57" t="s">
        <v>173</v>
      </c>
      <c r="K312" s="54">
        <f>IFERROR(VLOOKUP('Score BD'!$J312,Lista!A:B,2,0)," ")</f>
        <v>1026574814</v>
      </c>
      <c r="L312" s="61" t="s">
        <v>559</v>
      </c>
      <c r="M312" s="59" t="s">
        <v>4</v>
      </c>
      <c r="N312" s="59" t="s">
        <v>4</v>
      </c>
      <c r="O312" s="59" t="s">
        <v>4</v>
      </c>
      <c r="P312" s="59" t="s">
        <v>4</v>
      </c>
      <c r="Q312" s="96">
        <f t="shared" si="46"/>
        <v>1</v>
      </c>
      <c r="R312" s="59" t="s">
        <v>4</v>
      </c>
      <c r="S312" s="59" t="s">
        <v>4</v>
      </c>
      <c r="T312" s="59" t="s">
        <v>4</v>
      </c>
      <c r="U312" s="59" t="s">
        <v>4</v>
      </c>
      <c r="V312" s="45">
        <f t="shared" si="47"/>
        <v>1</v>
      </c>
      <c r="W312" s="59" t="s">
        <v>4</v>
      </c>
      <c r="X312" s="59" t="s">
        <v>4</v>
      </c>
      <c r="Y312" s="59" t="s">
        <v>4</v>
      </c>
      <c r="Z312" s="59" t="s">
        <v>4</v>
      </c>
      <c r="AA312" s="59" t="s">
        <v>4</v>
      </c>
      <c r="AB312" s="59" t="s">
        <v>4</v>
      </c>
      <c r="AC312" s="45">
        <f t="shared" si="48"/>
        <v>1.000000000000002</v>
      </c>
      <c r="AD312" s="43" t="s">
        <v>4</v>
      </c>
      <c r="AE312" s="43" t="s">
        <v>4</v>
      </c>
      <c r="AF312" s="97">
        <f t="shared" si="49"/>
        <v>1</v>
      </c>
      <c r="AG312" s="44">
        <f t="shared" si="50"/>
        <v>1.0000000000000004</v>
      </c>
      <c r="AH312" s="55">
        <f t="shared" si="51"/>
        <v>0</v>
      </c>
      <c r="AI312" s="55">
        <f>COUNTIF('Score BD'!$M312:$P312,"no")</f>
        <v>0</v>
      </c>
      <c r="AJ312" s="55">
        <f t="shared" si="52"/>
        <v>0</v>
      </c>
      <c r="AK312" s="55">
        <f t="shared" si="53"/>
        <v>0</v>
      </c>
      <c r="AL312" s="55">
        <f t="shared" si="54"/>
        <v>0</v>
      </c>
      <c r="AM312" s="157" t="s">
        <v>587</v>
      </c>
      <c r="AN312" s="55"/>
      <c r="AO312" s="61"/>
      <c r="AP312" s="61"/>
      <c r="AQ312" s="59" t="str">
        <f>IFERROR(_xlfn.XLOOKUP(Tabla1[[#This Row],[Cedula agente]],Lista!$B$2:$B$97,Lista!$G$2:$G$97)," ")</f>
        <v>Luisa Fernanda Benavides Castrillon</v>
      </c>
      <c r="AR312" s="59" t="s">
        <v>162</v>
      </c>
      <c r="AS312" s="55" t="str">
        <f>IFERROR(_xlfn.XLOOKUP(Tabla1[[#This Row],[Cedula agente]],Lista!$B$2:$B$97,Lista!$F$2:$F$97)," ")</f>
        <v>John Sebastian Roncancio Avendaño</v>
      </c>
      <c r="AT312" s="99">
        <v>0.95</v>
      </c>
      <c r="AU312" s="200">
        <f>+WEEKNUM('Score BD'!$I313)-WEEKNUM(DATE(YEAR('Score BD'!$I313),MONTH('Score BD'!$I313),1))+1</f>
        <v>4</v>
      </c>
    </row>
    <row r="313" spans="1:47" ht="17.45" customHeight="1" x14ac:dyDescent="0.3">
      <c r="A313" s="49" t="str">
        <f t="shared" si="44"/>
        <v>Ministerio de Educación Nacional</v>
      </c>
      <c r="B313" s="50">
        <f>+IFERROR(COUNTIF($J$3:J313,J313)," ")</f>
        <v>24</v>
      </c>
      <c r="C313" s="54" t="str">
        <f>+'Score BD'!$J313&amp;'Score BD'!$B313</f>
        <v>Ingrid Carolina Monsalve Quintero24</v>
      </c>
      <c r="D313" s="91" t="s">
        <v>148</v>
      </c>
      <c r="E313" s="92" t="s">
        <v>164</v>
      </c>
      <c r="F313" s="92" t="s">
        <v>212</v>
      </c>
      <c r="G313" s="60" t="str">
        <f t="shared" si="45"/>
        <v>Noviembre</v>
      </c>
      <c r="H313" s="242">
        <v>45982</v>
      </c>
      <c r="I313" s="243">
        <v>45981</v>
      </c>
      <c r="J313" s="57" t="s">
        <v>176</v>
      </c>
      <c r="K313" s="54">
        <f>IFERROR(VLOOKUP('Score BD'!$J313,Lista!A:B,2,0)," ")</f>
        <v>52805909</v>
      </c>
      <c r="L313" s="61" t="s">
        <v>560</v>
      </c>
      <c r="M313" s="59" t="s">
        <v>4</v>
      </c>
      <c r="N313" s="59" t="s">
        <v>4</v>
      </c>
      <c r="O313" s="59" t="s">
        <v>4</v>
      </c>
      <c r="P313" s="59" t="s">
        <v>4</v>
      </c>
      <c r="Q313" s="96">
        <f t="shared" si="46"/>
        <v>1</v>
      </c>
      <c r="R313" s="59" t="s">
        <v>4</v>
      </c>
      <c r="S313" s="59" t="s">
        <v>4</v>
      </c>
      <c r="T313" s="59" t="s">
        <v>4</v>
      </c>
      <c r="U313" s="59" t="s">
        <v>4</v>
      </c>
      <c r="V313" s="45">
        <f t="shared" si="47"/>
        <v>1</v>
      </c>
      <c r="W313" s="59" t="s">
        <v>4</v>
      </c>
      <c r="X313" s="59" t="s">
        <v>4</v>
      </c>
      <c r="Y313" s="59" t="s">
        <v>4</v>
      </c>
      <c r="Z313" s="59" t="s">
        <v>4</v>
      </c>
      <c r="AA313" s="59" t="s">
        <v>4</v>
      </c>
      <c r="AB313" s="59" t="s">
        <v>4</v>
      </c>
      <c r="AC313" s="45">
        <f t="shared" si="48"/>
        <v>1.000000000000002</v>
      </c>
      <c r="AD313" s="43" t="s">
        <v>4</v>
      </c>
      <c r="AE313" s="43" t="s">
        <v>4</v>
      </c>
      <c r="AF313" s="97">
        <f t="shared" si="49"/>
        <v>1</v>
      </c>
      <c r="AG313" s="44">
        <f t="shared" si="50"/>
        <v>1.0000000000000004</v>
      </c>
      <c r="AH313" s="55">
        <f t="shared" si="51"/>
        <v>0</v>
      </c>
      <c r="AI313" s="55">
        <f>COUNTIF('Score BD'!$M313:$P313,"no")</f>
        <v>0</v>
      </c>
      <c r="AJ313" s="55">
        <f t="shared" si="52"/>
        <v>0</v>
      </c>
      <c r="AK313" s="55">
        <f t="shared" si="53"/>
        <v>0</v>
      </c>
      <c r="AL313" s="55">
        <f t="shared" si="54"/>
        <v>0</v>
      </c>
      <c r="AM313" s="157" t="s">
        <v>587</v>
      </c>
      <c r="AN313" s="55"/>
      <c r="AO313" s="61"/>
      <c r="AP313" s="61"/>
      <c r="AQ313" s="59" t="str">
        <f>IFERROR(_xlfn.XLOOKUP(Tabla1[[#This Row],[Cedula agente]],Lista!$B$2:$B$97,Lista!$G$2:$G$97)," ")</f>
        <v>Luisa Fernanda Benavides Castrillon</v>
      </c>
      <c r="AR313" s="59" t="s">
        <v>162</v>
      </c>
      <c r="AS313" s="55" t="str">
        <f>IFERROR(_xlfn.XLOOKUP(Tabla1[[#This Row],[Cedula agente]],Lista!$B$2:$B$97,Lista!$F$2:$F$97)," ")</f>
        <v>John Sebastian Roncancio Avendaño</v>
      </c>
      <c r="AT313" s="99">
        <v>0.95</v>
      </c>
      <c r="AU313" s="200">
        <f>+WEEKNUM('Score BD'!$I314)-WEEKNUM(DATE(YEAR('Score BD'!$I314),MONTH('Score BD'!$I314),1))+1</f>
        <v>4</v>
      </c>
    </row>
    <row r="314" spans="1:47" ht="17.45" customHeight="1" x14ac:dyDescent="0.3">
      <c r="A314" s="49" t="str">
        <f t="shared" si="44"/>
        <v>Ministerio de Educación Nacional</v>
      </c>
      <c r="B314" s="50">
        <f>+IFERROR(COUNTIF($J$3:J314,J314)," ")</f>
        <v>25</v>
      </c>
      <c r="C314" s="54" t="str">
        <f>+'Score BD'!$J314&amp;'Score BD'!$B314</f>
        <v>Ingrid Carolina Monsalve Quintero25</v>
      </c>
      <c r="D314" s="91" t="s">
        <v>148</v>
      </c>
      <c r="E314" s="92" t="s">
        <v>164</v>
      </c>
      <c r="F314" s="92" t="s">
        <v>212</v>
      </c>
      <c r="G314" s="60" t="str">
        <f t="shared" si="45"/>
        <v>Noviembre</v>
      </c>
      <c r="H314" s="242">
        <v>45982</v>
      </c>
      <c r="I314" s="243">
        <v>45981</v>
      </c>
      <c r="J314" s="57" t="s">
        <v>176</v>
      </c>
      <c r="K314" s="54">
        <f>IFERROR(VLOOKUP('Score BD'!$J314,Lista!A:B,2,0)," ")</f>
        <v>52805909</v>
      </c>
      <c r="L314" s="61" t="s">
        <v>561</v>
      </c>
      <c r="M314" s="59" t="s">
        <v>4</v>
      </c>
      <c r="N314" s="59" t="s">
        <v>4</v>
      </c>
      <c r="O314" s="59" t="s">
        <v>4</v>
      </c>
      <c r="P314" s="59" t="s">
        <v>4</v>
      </c>
      <c r="Q314" s="96">
        <f t="shared" si="46"/>
        <v>1</v>
      </c>
      <c r="R314" s="59" t="s">
        <v>4</v>
      </c>
      <c r="S314" s="59" t="s">
        <v>4</v>
      </c>
      <c r="T314" s="59" t="s">
        <v>4</v>
      </c>
      <c r="U314" s="59" t="s">
        <v>4</v>
      </c>
      <c r="V314" s="45">
        <f t="shared" si="47"/>
        <v>1</v>
      </c>
      <c r="W314" s="59" t="s">
        <v>4</v>
      </c>
      <c r="X314" s="59" t="s">
        <v>4</v>
      </c>
      <c r="Y314" s="59" t="s">
        <v>4</v>
      </c>
      <c r="Z314" s="59" t="s">
        <v>4</v>
      </c>
      <c r="AA314" s="59" t="s">
        <v>4</v>
      </c>
      <c r="AB314" s="59" t="s">
        <v>4</v>
      </c>
      <c r="AC314" s="45">
        <f t="shared" si="48"/>
        <v>1.000000000000002</v>
      </c>
      <c r="AD314" s="43" t="s">
        <v>4</v>
      </c>
      <c r="AE314" s="43" t="s">
        <v>4</v>
      </c>
      <c r="AF314" s="97">
        <f t="shared" si="49"/>
        <v>1</v>
      </c>
      <c r="AG314" s="44">
        <f t="shared" si="50"/>
        <v>1.0000000000000004</v>
      </c>
      <c r="AH314" s="55">
        <f t="shared" si="51"/>
        <v>0</v>
      </c>
      <c r="AI314" s="55">
        <f>COUNTIF('Score BD'!$M314:$P314,"no")</f>
        <v>0</v>
      </c>
      <c r="AJ314" s="55">
        <f t="shared" si="52"/>
        <v>0</v>
      </c>
      <c r="AK314" s="55">
        <f t="shared" si="53"/>
        <v>0</v>
      </c>
      <c r="AL314" s="55">
        <f t="shared" si="54"/>
        <v>0</v>
      </c>
      <c r="AM314" s="157" t="s">
        <v>587</v>
      </c>
      <c r="AN314" s="55"/>
      <c r="AO314" s="102"/>
      <c r="AP314" s="61"/>
      <c r="AQ314" s="59" t="str">
        <f>IFERROR(_xlfn.XLOOKUP(Tabla1[[#This Row],[Cedula agente]],Lista!$B$2:$B$97,Lista!$G$2:$G$97)," ")</f>
        <v>Luisa Fernanda Benavides Castrillon</v>
      </c>
      <c r="AR314" s="59" t="s">
        <v>162</v>
      </c>
      <c r="AS314" s="55" t="str">
        <f>IFERROR(_xlfn.XLOOKUP(Tabla1[[#This Row],[Cedula agente]],Lista!$B$2:$B$97,Lista!$F$2:$F$97)," ")</f>
        <v>John Sebastian Roncancio Avendaño</v>
      </c>
      <c r="AT314" s="99">
        <v>0.95</v>
      </c>
      <c r="AU314" s="200">
        <f>+WEEKNUM('Score BD'!$I315)-WEEKNUM(DATE(YEAR('Score BD'!$I315),MONTH('Score BD'!$I315),1))+1</f>
        <v>4</v>
      </c>
    </row>
    <row r="315" spans="1:47" ht="17.45" customHeight="1" x14ac:dyDescent="0.3">
      <c r="A315" s="49" t="str">
        <f t="shared" si="44"/>
        <v>Ministerio de Educación Nacional</v>
      </c>
      <c r="B315" s="50">
        <f>+IFERROR(COUNTIF($J$3:J315,J315)," ")</f>
        <v>12</v>
      </c>
      <c r="C315" s="54" t="str">
        <f>+'Score BD'!$J315&amp;'Score BD'!$B315</f>
        <v>Laura Juliana Rueda Durán12</v>
      </c>
      <c r="D315" s="91" t="s">
        <v>148</v>
      </c>
      <c r="E315" s="92" t="s">
        <v>165</v>
      </c>
      <c r="F315" s="92" t="s">
        <v>212</v>
      </c>
      <c r="G315" s="60" t="str">
        <f t="shared" si="45"/>
        <v>Noviembre</v>
      </c>
      <c r="H315" s="242">
        <v>45982</v>
      </c>
      <c r="I315" s="243">
        <v>45981</v>
      </c>
      <c r="J315" s="57" t="s">
        <v>180</v>
      </c>
      <c r="K315" s="54">
        <f>IFERROR(VLOOKUP('Score BD'!$J315,Lista!A:B,2,0)," ")</f>
        <v>1026291591</v>
      </c>
      <c r="L315" s="61" t="s">
        <v>562</v>
      </c>
      <c r="M315" s="59" t="s">
        <v>4</v>
      </c>
      <c r="N315" s="59" t="s">
        <v>4</v>
      </c>
      <c r="O315" s="59" t="s">
        <v>4</v>
      </c>
      <c r="P315" s="59" t="s">
        <v>4</v>
      </c>
      <c r="Q315" s="96">
        <f t="shared" si="46"/>
        <v>1</v>
      </c>
      <c r="R315" s="59" t="s">
        <v>4</v>
      </c>
      <c r="S315" s="59" t="s">
        <v>4</v>
      </c>
      <c r="T315" s="59" t="s">
        <v>4</v>
      </c>
      <c r="U315" s="59" t="s">
        <v>4</v>
      </c>
      <c r="V315" s="45">
        <f t="shared" si="47"/>
        <v>1</v>
      </c>
      <c r="W315" s="59" t="s">
        <v>4</v>
      </c>
      <c r="X315" s="59" t="s">
        <v>4</v>
      </c>
      <c r="Y315" s="59" t="s">
        <v>4</v>
      </c>
      <c r="Z315" s="59" t="s">
        <v>4</v>
      </c>
      <c r="AA315" s="59" t="s">
        <v>4</v>
      </c>
      <c r="AB315" s="59" t="s">
        <v>4</v>
      </c>
      <c r="AC315" s="45">
        <f t="shared" si="48"/>
        <v>1.000000000000002</v>
      </c>
      <c r="AD315" s="43" t="s">
        <v>4</v>
      </c>
      <c r="AE315" s="43" t="s">
        <v>4</v>
      </c>
      <c r="AF315" s="97">
        <f t="shared" si="49"/>
        <v>1</v>
      </c>
      <c r="AG315" s="44">
        <f t="shared" si="50"/>
        <v>1.0000000000000004</v>
      </c>
      <c r="AH315" s="55">
        <f t="shared" si="51"/>
        <v>0</v>
      </c>
      <c r="AI315" s="55">
        <f>COUNTIF('Score BD'!$M315:$P315,"no")</f>
        <v>0</v>
      </c>
      <c r="AJ315" s="55">
        <f t="shared" si="52"/>
        <v>0</v>
      </c>
      <c r="AK315" s="55">
        <f t="shared" si="53"/>
        <v>0</v>
      </c>
      <c r="AL315" s="55">
        <f t="shared" si="54"/>
        <v>0</v>
      </c>
      <c r="AM315" s="157" t="s">
        <v>587</v>
      </c>
      <c r="AN315" s="55"/>
      <c r="AO315" s="61"/>
      <c r="AP315" s="61"/>
      <c r="AQ315" s="59" t="str">
        <f>IFERROR(_xlfn.XLOOKUP(Tabla1[[#This Row],[Cedula agente]],Lista!$B$2:$B$97,Lista!$G$2:$G$97)," ")</f>
        <v>Luisa Fernanda Benavides Castrillon</v>
      </c>
      <c r="AR315" s="59" t="s">
        <v>162</v>
      </c>
      <c r="AS315" s="55" t="str">
        <f>IFERROR(_xlfn.XLOOKUP(Tabla1[[#This Row],[Cedula agente]],Lista!$B$2:$B$97,Lista!$F$2:$F$97)," ")</f>
        <v>John Sebastian Roncancio Avendaño</v>
      </c>
      <c r="AT315" s="99">
        <v>0.95</v>
      </c>
      <c r="AU315" s="200">
        <f>+WEEKNUM('Score BD'!$I316)-WEEKNUM(DATE(YEAR('Score BD'!$I316),MONTH('Score BD'!$I316),1))+1</f>
        <v>4</v>
      </c>
    </row>
    <row r="316" spans="1:47" ht="17.45" customHeight="1" x14ac:dyDescent="0.3">
      <c r="A316" s="49" t="str">
        <f t="shared" si="44"/>
        <v>Ministerio de Educación Nacional</v>
      </c>
      <c r="B316" s="50">
        <f>+IFERROR(COUNTIF($J$3:J316,J316)," ")</f>
        <v>12</v>
      </c>
      <c r="C316" s="54" t="str">
        <f>+'Score BD'!$J316&amp;'Score BD'!$B316</f>
        <v>Laura Ximena Sandoval Galindo12</v>
      </c>
      <c r="D316" s="91" t="s">
        <v>148</v>
      </c>
      <c r="E316" s="92" t="s">
        <v>208</v>
      </c>
      <c r="F316" s="92" t="s">
        <v>212</v>
      </c>
      <c r="G316" s="60" t="str">
        <f t="shared" si="45"/>
        <v>Noviembre</v>
      </c>
      <c r="H316" s="242">
        <v>45982</v>
      </c>
      <c r="I316" s="243">
        <v>45981</v>
      </c>
      <c r="J316" s="57" t="s">
        <v>201</v>
      </c>
      <c r="K316" s="54">
        <f>IFERROR(VLOOKUP('Score BD'!$J316,Lista!A:B,2,0)," ")</f>
        <v>1030678660</v>
      </c>
      <c r="L316" s="61" t="s">
        <v>563</v>
      </c>
      <c r="M316" s="59" t="s">
        <v>4</v>
      </c>
      <c r="N316" s="59" t="s">
        <v>4</v>
      </c>
      <c r="O316" s="59" t="s">
        <v>4</v>
      </c>
      <c r="P316" s="59" t="s">
        <v>4</v>
      </c>
      <c r="Q316" s="96">
        <f t="shared" si="46"/>
        <v>1</v>
      </c>
      <c r="R316" s="59" t="s">
        <v>4</v>
      </c>
      <c r="S316" s="59" t="s">
        <v>4</v>
      </c>
      <c r="T316" s="59" t="s">
        <v>4</v>
      </c>
      <c r="U316" s="59" t="s">
        <v>4</v>
      </c>
      <c r="V316" s="45">
        <f t="shared" si="47"/>
        <v>1</v>
      </c>
      <c r="W316" s="59" t="s">
        <v>4</v>
      </c>
      <c r="X316" s="59" t="s">
        <v>4</v>
      </c>
      <c r="Y316" s="59" t="s">
        <v>4</v>
      </c>
      <c r="Z316" s="59" t="s">
        <v>4</v>
      </c>
      <c r="AA316" s="59" t="s">
        <v>4</v>
      </c>
      <c r="AB316" s="59" t="s">
        <v>4</v>
      </c>
      <c r="AC316" s="45">
        <f t="shared" si="48"/>
        <v>1.000000000000002</v>
      </c>
      <c r="AD316" s="43" t="s">
        <v>4</v>
      </c>
      <c r="AE316" s="43" t="s">
        <v>4</v>
      </c>
      <c r="AF316" s="97">
        <f t="shared" si="49"/>
        <v>1</v>
      </c>
      <c r="AG316" s="44">
        <f t="shared" si="50"/>
        <v>1.0000000000000004</v>
      </c>
      <c r="AH316" s="55">
        <f t="shared" si="51"/>
        <v>0</v>
      </c>
      <c r="AI316" s="55">
        <f>COUNTIF('Score BD'!$M316:$P316,"no")</f>
        <v>0</v>
      </c>
      <c r="AJ316" s="55">
        <f t="shared" si="52"/>
        <v>0</v>
      </c>
      <c r="AK316" s="55">
        <f t="shared" si="53"/>
        <v>0</v>
      </c>
      <c r="AL316" s="55">
        <f t="shared" si="54"/>
        <v>0</v>
      </c>
      <c r="AM316" s="157" t="s">
        <v>587</v>
      </c>
      <c r="AN316" s="55"/>
      <c r="AO316" s="61"/>
      <c r="AP316" s="61"/>
      <c r="AQ316" s="59" t="str">
        <f>IFERROR(_xlfn.XLOOKUP(Tabla1[[#This Row],[Cedula agente]],Lista!$B$2:$B$97,Lista!$G$2:$G$97)," ")</f>
        <v>Luisa Fernanda Benavides Castrillon</v>
      </c>
      <c r="AR316" s="59" t="s">
        <v>162</v>
      </c>
      <c r="AS316" s="55" t="str">
        <f>IFERROR(_xlfn.XLOOKUP(Tabla1[[#This Row],[Cedula agente]],Lista!$B$2:$B$97,Lista!$F$2:$F$97)," ")</f>
        <v>John Sebastian Roncancio Avendaño</v>
      </c>
      <c r="AT316" s="99">
        <v>0.95</v>
      </c>
      <c r="AU316" s="200">
        <f>+WEEKNUM('Score BD'!$I317)-WEEKNUM(DATE(YEAR('Score BD'!$I317),MONTH('Score BD'!$I317),1))+1</f>
        <v>4</v>
      </c>
    </row>
    <row r="317" spans="1:47" ht="17.45" customHeight="1" x14ac:dyDescent="0.3">
      <c r="A317" s="49" t="str">
        <f t="shared" si="44"/>
        <v>Ministerio de Educación Nacional</v>
      </c>
      <c r="B317" s="50">
        <f>+IFERROR(COUNTIF($J$3:J317,J317)," ")</f>
        <v>24</v>
      </c>
      <c r="C317" s="54" t="str">
        <f>+'Score BD'!$J317&amp;'Score BD'!$B317</f>
        <v>Maira Alejandra Rodriguez Losada24</v>
      </c>
      <c r="D317" s="91" t="s">
        <v>148</v>
      </c>
      <c r="E317" s="92" t="s">
        <v>164</v>
      </c>
      <c r="F317" s="92" t="s">
        <v>212</v>
      </c>
      <c r="G317" s="60" t="str">
        <f t="shared" si="45"/>
        <v>Noviembre</v>
      </c>
      <c r="H317" s="242">
        <v>45982</v>
      </c>
      <c r="I317" s="243">
        <v>45981</v>
      </c>
      <c r="J317" s="57" t="s">
        <v>204</v>
      </c>
      <c r="K317" s="54">
        <f>IFERROR(VLOOKUP('Score BD'!$J317,Lista!A:B,2,0)," ")</f>
        <v>1075224344</v>
      </c>
      <c r="L317" s="61" t="s">
        <v>564</v>
      </c>
      <c r="M317" s="59" t="s">
        <v>4</v>
      </c>
      <c r="N317" s="59" t="s">
        <v>4</v>
      </c>
      <c r="O317" s="59" t="s">
        <v>4</v>
      </c>
      <c r="P317" s="59" t="s">
        <v>4</v>
      </c>
      <c r="Q317" s="96">
        <f t="shared" si="46"/>
        <v>1</v>
      </c>
      <c r="R317" s="59" t="s">
        <v>4</v>
      </c>
      <c r="S317" s="59" t="s">
        <v>4</v>
      </c>
      <c r="T317" s="59" t="s">
        <v>4</v>
      </c>
      <c r="U317" s="59" t="s">
        <v>4</v>
      </c>
      <c r="V317" s="45">
        <f t="shared" si="47"/>
        <v>1</v>
      </c>
      <c r="W317" s="59" t="s">
        <v>4</v>
      </c>
      <c r="X317" s="59" t="s">
        <v>4</v>
      </c>
      <c r="Y317" s="59" t="s">
        <v>4</v>
      </c>
      <c r="Z317" s="59" t="s">
        <v>4</v>
      </c>
      <c r="AA317" s="59" t="s">
        <v>4</v>
      </c>
      <c r="AB317" s="59" t="s">
        <v>4</v>
      </c>
      <c r="AC317" s="45">
        <f t="shared" si="48"/>
        <v>1.000000000000002</v>
      </c>
      <c r="AD317" s="43" t="s">
        <v>4</v>
      </c>
      <c r="AE317" s="43" t="s">
        <v>4</v>
      </c>
      <c r="AF317" s="97">
        <f t="shared" si="49"/>
        <v>1</v>
      </c>
      <c r="AG317" s="44">
        <f t="shared" si="50"/>
        <v>1.0000000000000004</v>
      </c>
      <c r="AH317" s="55">
        <f t="shared" si="51"/>
        <v>0</v>
      </c>
      <c r="AI317" s="55">
        <f>COUNTIF('Score BD'!$M317:$P317,"no")</f>
        <v>0</v>
      </c>
      <c r="AJ317" s="55">
        <f t="shared" si="52"/>
        <v>0</v>
      </c>
      <c r="AK317" s="55">
        <f t="shared" si="53"/>
        <v>0</v>
      </c>
      <c r="AL317" s="55">
        <f t="shared" si="54"/>
        <v>0</v>
      </c>
      <c r="AM317" s="157" t="s">
        <v>587</v>
      </c>
      <c r="AN317" s="55"/>
      <c r="AO317" s="61"/>
      <c r="AP317" s="61"/>
      <c r="AQ317" s="59" t="str">
        <f>IFERROR(_xlfn.XLOOKUP(Tabla1[[#This Row],[Cedula agente]],Lista!$B$2:$B$97,Lista!$G$2:$G$97)," ")</f>
        <v>Luisa Fernanda Benavides Castrillon</v>
      </c>
      <c r="AR317" s="59" t="s">
        <v>162</v>
      </c>
      <c r="AS317" s="55" t="str">
        <f>IFERROR(_xlfn.XLOOKUP(Tabla1[[#This Row],[Cedula agente]],Lista!$B$2:$B$97,Lista!$F$2:$F$97)," ")</f>
        <v>John Sebastian Roncancio Avendaño</v>
      </c>
      <c r="AT317" s="99">
        <v>0.95</v>
      </c>
      <c r="AU317" s="200">
        <f>+WEEKNUM('Score BD'!$I318)-WEEKNUM(DATE(YEAR('Score BD'!$I318),MONTH('Score BD'!$I318),1))+1</f>
        <v>4</v>
      </c>
    </row>
    <row r="318" spans="1:47" ht="17.45" customHeight="1" x14ac:dyDescent="0.3">
      <c r="A318" s="49" t="str">
        <f t="shared" si="44"/>
        <v>Ministerio de Educación Nacional</v>
      </c>
      <c r="B318" s="50">
        <f>+IFERROR(COUNTIF($J$3:J318,J318)," ")</f>
        <v>25</v>
      </c>
      <c r="C318" s="54" t="str">
        <f>+'Score BD'!$J318&amp;'Score BD'!$B318</f>
        <v>Maira Alejandra Rodriguez Losada25</v>
      </c>
      <c r="D318" s="91" t="s">
        <v>148</v>
      </c>
      <c r="E318" s="92" t="s">
        <v>164</v>
      </c>
      <c r="F318" s="92" t="s">
        <v>212</v>
      </c>
      <c r="G318" s="60" t="str">
        <f t="shared" si="45"/>
        <v>Noviembre</v>
      </c>
      <c r="H318" s="242">
        <v>45982</v>
      </c>
      <c r="I318" s="243">
        <v>45981</v>
      </c>
      <c r="J318" s="57" t="s">
        <v>204</v>
      </c>
      <c r="K318" s="54">
        <f>IFERROR(VLOOKUP('Score BD'!$J318,Lista!A:B,2,0)," ")</f>
        <v>1075224344</v>
      </c>
      <c r="L318" s="61" t="s">
        <v>565</v>
      </c>
      <c r="M318" s="59" t="s">
        <v>4</v>
      </c>
      <c r="N318" s="59" t="s">
        <v>4</v>
      </c>
      <c r="O318" s="59" t="s">
        <v>4</v>
      </c>
      <c r="P318" s="59" t="s">
        <v>4</v>
      </c>
      <c r="Q318" s="96">
        <f t="shared" si="46"/>
        <v>1</v>
      </c>
      <c r="R318" s="59" t="s">
        <v>4</v>
      </c>
      <c r="S318" s="59" t="s">
        <v>4</v>
      </c>
      <c r="T318" s="59" t="s">
        <v>4</v>
      </c>
      <c r="U318" s="59" t="s">
        <v>4</v>
      </c>
      <c r="V318" s="45">
        <f t="shared" si="47"/>
        <v>1</v>
      </c>
      <c r="W318" s="59" t="s">
        <v>4</v>
      </c>
      <c r="X318" s="59" t="s">
        <v>4</v>
      </c>
      <c r="Y318" s="59" t="s">
        <v>4</v>
      </c>
      <c r="Z318" s="59" t="s">
        <v>4</v>
      </c>
      <c r="AA318" s="59" t="s">
        <v>4</v>
      </c>
      <c r="AB318" s="59" t="s">
        <v>4</v>
      </c>
      <c r="AC318" s="45">
        <f t="shared" si="48"/>
        <v>1.000000000000002</v>
      </c>
      <c r="AD318" s="43" t="s">
        <v>4</v>
      </c>
      <c r="AE318" s="43" t="s">
        <v>4</v>
      </c>
      <c r="AF318" s="97">
        <f t="shared" si="49"/>
        <v>1</v>
      </c>
      <c r="AG318" s="44">
        <f t="shared" si="50"/>
        <v>1.0000000000000004</v>
      </c>
      <c r="AH318" s="55">
        <f t="shared" si="51"/>
        <v>0</v>
      </c>
      <c r="AI318" s="55">
        <f>COUNTIF('Score BD'!$M318:$P318,"no")</f>
        <v>0</v>
      </c>
      <c r="AJ318" s="55">
        <f t="shared" si="52"/>
        <v>0</v>
      </c>
      <c r="AK318" s="55">
        <f t="shared" si="53"/>
        <v>0</v>
      </c>
      <c r="AL318" s="55">
        <f t="shared" si="54"/>
        <v>0</v>
      </c>
      <c r="AM318" s="157" t="s">
        <v>587</v>
      </c>
      <c r="AN318" s="55"/>
      <c r="AO318" s="61"/>
      <c r="AP318" s="61"/>
      <c r="AQ318" s="59" t="str">
        <f>IFERROR(_xlfn.XLOOKUP(Tabla1[[#This Row],[Cedula agente]],Lista!$B$2:$B$97,Lista!$G$2:$G$97)," ")</f>
        <v>Luisa Fernanda Benavides Castrillon</v>
      </c>
      <c r="AR318" s="59" t="s">
        <v>162</v>
      </c>
      <c r="AS318" s="55" t="str">
        <f>IFERROR(_xlfn.XLOOKUP(Tabla1[[#This Row],[Cedula agente]],Lista!$B$2:$B$97,Lista!$F$2:$F$97)," ")</f>
        <v>John Sebastian Roncancio Avendaño</v>
      </c>
      <c r="AT318" s="99">
        <v>0.95</v>
      </c>
      <c r="AU318" s="200">
        <f>+WEEKNUM('Score BD'!$I319)-WEEKNUM(DATE(YEAR('Score BD'!$I319),MONTH('Score BD'!$I319),1))+1</f>
        <v>4</v>
      </c>
    </row>
    <row r="319" spans="1:47" ht="17.45" customHeight="1" x14ac:dyDescent="0.3">
      <c r="A319" s="49" t="str">
        <f t="shared" si="44"/>
        <v>Ministerio de Educación Nacional</v>
      </c>
      <c r="B319" s="50">
        <f>+IFERROR(COUNTIF($J$3:J319,J319)," ")</f>
        <v>23</v>
      </c>
      <c r="C319" s="54" t="str">
        <f>+'Score BD'!$J319&amp;'Score BD'!$B319</f>
        <v>María José Uribe Medina23</v>
      </c>
      <c r="D319" s="91" t="s">
        <v>148</v>
      </c>
      <c r="E319" s="92" t="s">
        <v>164</v>
      </c>
      <c r="F319" s="92" t="s">
        <v>212</v>
      </c>
      <c r="G319" s="60" t="str">
        <f t="shared" si="45"/>
        <v>Noviembre</v>
      </c>
      <c r="H319" s="242">
        <v>45982</v>
      </c>
      <c r="I319" s="243">
        <v>45981</v>
      </c>
      <c r="J319" s="57" t="s">
        <v>205</v>
      </c>
      <c r="K319" s="54">
        <f>IFERROR(VLOOKUP('Score BD'!$J319,Lista!A:B,2,0)," ")</f>
        <v>1121919150</v>
      </c>
      <c r="L319" s="61" t="s">
        <v>566</v>
      </c>
      <c r="M319" s="59" t="s">
        <v>4</v>
      </c>
      <c r="N319" s="59" t="s">
        <v>4</v>
      </c>
      <c r="O319" s="59" t="s">
        <v>4</v>
      </c>
      <c r="P319" s="59" t="s">
        <v>4</v>
      </c>
      <c r="Q319" s="96">
        <f t="shared" si="46"/>
        <v>1</v>
      </c>
      <c r="R319" s="59" t="s">
        <v>4</v>
      </c>
      <c r="S319" s="59" t="s">
        <v>4</v>
      </c>
      <c r="T319" s="59" t="s">
        <v>4</v>
      </c>
      <c r="U319" s="59" t="s">
        <v>4</v>
      </c>
      <c r="V319" s="45">
        <f t="shared" si="47"/>
        <v>1</v>
      </c>
      <c r="W319" s="59" t="s">
        <v>4</v>
      </c>
      <c r="X319" s="59" t="s">
        <v>4</v>
      </c>
      <c r="Y319" s="59" t="s">
        <v>4</v>
      </c>
      <c r="Z319" s="59" t="s">
        <v>4</v>
      </c>
      <c r="AA319" s="59" t="s">
        <v>4</v>
      </c>
      <c r="AB319" s="59" t="s">
        <v>4</v>
      </c>
      <c r="AC319" s="45">
        <f t="shared" si="48"/>
        <v>1.000000000000002</v>
      </c>
      <c r="AD319" s="43" t="s">
        <v>4</v>
      </c>
      <c r="AE319" s="43" t="s">
        <v>4</v>
      </c>
      <c r="AF319" s="97">
        <f t="shared" si="49"/>
        <v>1</v>
      </c>
      <c r="AG319" s="44">
        <f t="shared" si="50"/>
        <v>1.0000000000000004</v>
      </c>
      <c r="AH319" s="55">
        <f t="shared" si="51"/>
        <v>0</v>
      </c>
      <c r="AI319" s="55">
        <f>COUNTIF('Score BD'!$M319:$P319,"no")</f>
        <v>0</v>
      </c>
      <c r="AJ319" s="55">
        <f t="shared" si="52"/>
        <v>0</v>
      </c>
      <c r="AK319" s="55">
        <f t="shared" si="53"/>
        <v>0</v>
      </c>
      <c r="AL319" s="55">
        <f t="shared" si="54"/>
        <v>0</v>
      </c>
      <c r="AM319" s="157" t="s">
        <v>587</v>
      </c>
      <c r="AN319" s="55"/>
      <c r="AO319" s="61"/>
      <c r="AP319" s="61"/>
      <c r="AQ319" s="59" t="str">
        <f>IFERROR(_xlfn.XLOOKUP(Tabla1[[#This Row],[Cedula agente]],Lista!$B$2:$B$97,Lista!$G$2:$G$97)," ")</f>
        <v>Luisa Fernanda Benavides Castrillon</v>
      </c>
      <c r="AR319" s="59" t="s">
        <v>162</v>
      </c>
      <c r="AS319" s="55" t="str">
        <f>IFERROR(_xlfn.XLOOKUP(Tabla1[[#This Row],[Cedula agente]],Lista!$B$2:$B$97,Lista!$F$2:$F$97)," ")</f>
        <v>John Sebastian Roncancio Avendaño</v>
      </c>
      <c r="AT319" s="99">
        <v>0.95</v>
      </c>
      <c r="AU319" s="200">
        <f>+WEEKNUM('Score BD'!$I320)-WEEKNUM(DATE(YEAR('Score BD'!$I320),MONTH('Score BD'!$I320),1))+1</f>
        <v>4</v>
      </c>
    </row>
    <row r="320" spans="1:47" ht="17.45" customHeight="1" x14ac:dyDescent="0.3">
      <c r="A320" s="49" t="str">
        <f t="shared" si="44"/>
        <v>Ministerio de Educación Nacional</v>
      </c>
      <c r="B320" s="50">
        <f>+IFERROR(COUNTIF($J$3:J320,J320)," ")</f>
        <v>24</v>
      </c>
      <c r="C320" s="54" t="str">
        <f>+'Score BD'!$J320&amp;'Score BD'!$B320</f>
        <v>María José Uribe Medina24</v>
      </c>
      <c r="D320" s="91" t="s">
        <v>148</v>
      </c>
      <c r="E320" s="92" t="s">
        <v>164</v>
      </c>
      <c r="F320" s="92" t="s">
        <v>212</v>
      </c>
      <c r="G320" s="60" t="str">
        <f t="shared" si="45"/>
        <v>Noviembre</v>
      </c>
      <c r="H320" s="242">
        <v>45982</v>
      </c>
      <c r="I320" s="243">
        <v>45981</v>
      </c>
      <c r="J320" s="57" t="s">
        <v>205</v>
      </c>
      <c r="K320" s="54">
        <f>IFERROR(VLOOKUP('Score BD'!$J320,Lista!A:B,2,0)," ")</f>
        <v>1121919150</v>
      </c>
      <c r="L320" s="61" t="s">
        <v>567</v>
      </c>
      <c r="M320" s="59" t="s">
        <v>4</v>
      </c>
      <c r="N320" s="59" t="s">
        <v>4</v>
      </c>
      <c r="O320" s="59" t="s">
        <v>4</v>
      </c>
      <c r="P320" s="59" t="s">
        <v>4</v>
      </c>
      <c r="Q320" s="96">
        <f t="shared" si="46"/>
        <v>1</v>
      </c>
      <c r="R320" s="59" t="s">
        <v>4</v>
      </c>
      <c r="S320" s="59" t="s">
        <v>4</v>
      </c>
      <c r="T320" s="59" t="s">
        <v>4</v>
      </c>
      <c r="U320" s="59" t="s">
        <v>4</v>
      </c>
      <c r="V320" s="45">
        <f t="shared" si="47"/>
        <v>1</v>
      </c>
      <c r="W320" s="59" t="s">
        <v>4</v>
      </c>
      <c r="X320" s="59" t="s">
        <v>4</v>
      </c>
      <c r="Y320" s="59" t="s">
        <v>4</v>
      </c>
      <c r="Z320" s="59" t="s">
        <v>4</v>
      </c>
      <c r="AA320" s="59" t="s">
        <v>4</v>
      </c>
      <c r="AB320" s="59" t="s">
        <v>4</v>
      </c>
      <c r="AC320" s="45">
        <f t="shared" si="48"/>
        <v>1.000000000000002</v>
      </c>
      <c r="AD320" s="43" t="s">
        <v>4</v>
      </c>
      <c r="AE320" s="43" t="s">
        <v>4</v>
      </c>
      <c r="AF320" s="97">
        <f t="shared" si="49"/>
        <v>1</v>
      </c>
      <c r="AG320" s="44">
        <f t="shared" si="50"/>
        <v>1.0000000000000004</v>
      </c>
      <c r="AH320" s="55">
        <f t="shared" si="51"/>
        <v>0</v>
      </c>
      <c r="AI320" s="55">
        <f>COUNTIF('Score BD'!$M320:$P320,"no")</f>
        <v>0</v>
      </c>
      <c r="AJ320" s="55">
        <f t="shared" si="52"/>
        <v>0</v>
      </c>
      <c r="AK320" s="55">
        <f t="shared" si="53"/>
        <v>0</v>
      </c>
      <c r="AL320" s="55">
        <f t="shared" si="54"/>
        <v>0</v>
      </c>
      <c r="AM320" s="157" t="s">
        <v>587</v>
      </c>
      <c r="AN320" s="55"/>
      <c r="AO320" s="61"/>
      <c r="AP320" s="61"/>
      <c r="AQ320" s="59" t="str">
        <f>IFERROR(_xlfn.XLOOKUP(Tabla1[[#This Row],[Cedula agente]],Lista!$B$2:$B$97,Lista!$G$2:$G$97)," ")</f>
        <v>Luisa Fernanda Benavides Castrillon</v>
      </c>
      <c r="AR320" s="59" t="s">
        <v>162</v>
      </c>
      <c r="AS320" s="55" t="str">
        <f>IFERROR(_xlfn.XLOOKUP(Tabla1[[#This Row],[Cedula agente]],Lista!$B$2:$B$97,Lista!$F$2:$F$97)," ")</f>
        <v>John Sebastian Roncancio Avendaño</v>
      </c>
      <c r="AT320" s="99">
        <v>0.95</v>
      </c>
      <c r="AU320" s="200">
        <f>+WEEKNUM('Score BD'!$I321)-WEEKNUM(DATE(YEAR('Score BD'!$I321),MONTH('Score BD'!$I321),1))+1</f>
        <v>4</v>
      </c>
    </row>
    <row r="321" spans="1:47" ht="17.45" customHeight="1" x14ac:dyDescent="0.3">
      <c r="A321" s="49" t="str">
        <f t="shared" si="44"/>
        <v>Ministerio de Educación Nacional</v>
      </c>
      <c r="B321" s="50">
        <f>+IFERROR(COUNTIF($J$3:J321,J321)," ")</f>
        <v>23</v>
      </c>
      <c r="C321" s="54" t="str">
        <f>+'Score BD'!$J321&amp;'Score BD'!$B321</f>
        <v>Natalia Cañón Betancourt23</v>
      </c>
      <c r="D321" s="91" t="s">
        <v>148</v>
      </c>
      <c r="E321" s="92" t="s">
        <v>164</v>
      </c>
      <c r="F321" s="92" t="s">
        <v>212</v>
      </c>
      <c r="G321" s="60" t="str">
        <f t="shared" si="45"/>
        <v>Noviembre</v>
      </c>
      <c r="H321" s="242">
        <v>45982</v>
      </c>
      <c r="I321" s="243">
        <v>45981</v>
      </c>
      <c r="J321" s="57" t="s">
        <v>181</v>
      </c>
      <c r="K321" s="54">
        <f>IFERROR(VLOOKUP('Score BD'!$J321,Lista!A:B,2,0)," ")</f>
        <v>1000383417</v>
      </c>
      <c r="L321" s="61" t="s">
        <v>568</v>
      </c>
      <c r="M321" s="59" t="s">
        <v>4</v>
      </c>
      <c r="N321" s="59" t="s">
        <v>4</v>
      </c>
      <c r="O321" s="59" t="s">
        <v>4</v>
      </c>
      <c r="P321" s="59" t="s">
        <v>4</v>
      </c>
      <c r="Q321" s="96">
        <f t="shared" si="46"/>
        <v>1</v>
      </c>
      <c r="R321" s="59" t="s">
        <v>4</v>
      </c>
      <c r="S321" s="59" t="s">
        <v>4</v>
      </c>
      <c r="T321" s="59" t="s">
        <v>4</v>
      </c>
      <c r="U321" s="59" t="s">
        <v>4</v>
      </c>
      <c r="V321" s="45">
        <f t="shared" si="47"/>
        <v>1</v>
      </c>
      <c r="W321" s="59" t="s">
        <v>4</v>
      </c>
      <c r="X321" s="59" t="s">
        <v>4</v>
      </c>
      <c r="Y321" s="59" t="s">
        <v>4</v>
      </c>
      <c r="Z321" s="59" t="s">
        <v>4</v>
      </c>
      <c r="AA321" s="59" t="s">
        <v>4</v>
      </c>
      <c r="AB321" s="59" t="s">
        <v>4</v>
      </c>
      <c r="AC321" s="45">
        <f t="shared" si="48"/>
        <v>1.000000000000002</v>
      </c>
      <c r="AD321" s="43" t="s">
        <v>4</v>
      </c>
      <c r="AE321" s="43" t="s">
        <v>4</v>
      </c>
      <c r="AF321" s="97">
        <f t="shared" si="49"/>
        <v>1</v>
      </c>
      <c r="AG321" s="44">
        <f t="shared" si="50"/>
        <v>1.0000000000000004</v>
      </c>
      <c r="AH321" s="55">
        <f t="shared" si="51"/>
        <v>0</v>
      </c>
      <c r="AI321" s="55">
        <f>COUNTIF('Score BD'!$M321:$P321,"no")</f>
        <v>0</v>
      </c>
      <c r="AJ321" s="55">
        <f t="shared" si="52"/>
        <v>0</v>
      </c>
      <c r="AK321" s="55">
        <f t="shared" si="53"/>
        <v>0</v>
      </c>
      <c r="AL321" s="55">
        <f t="shared" si="54"/>
        <v>0</v>
      </c>
      <c r="AM321" s="157" t="s">
        <v>587</v>
      </c>
      <c r="AN321" s="55"/>
      <c r="AO321" s="61"/>
      <c r="AP321" s="61"/>
      <c r="AQ321" s="59" t="str">
        <f>IFERROR(_xlfn.XLOOKUP(Tabla1[[#This Row],[Cedula agente]],Lista!$B$2:$B$97,Lista!$G$2:$G$97)," ")</f>
        <v>Luisa Fernanda Benavides Castrillon</v>
      </c>
      <c r="AR321" s="59" t="s">
        <v>162</v>
      </c>
      <c r="AS321" s="55" t="str">
        <f>IFERROR(_xlfn.XLOOKUP(Tabla1[[#This Row],[Cedula agente]],Lista!$B$2:$B$97,Lista!$F$2:$F$97)," ")</f>
        <v>John Sebastian Roncancio Avendaño</v>
      </c>
      <c r="AT321" s="99">
        <v>0.95</v>
      </c>
      <c r="AU321" s="200">
        <f>+WEEKNUM('Score BD'!$I322)-WEEKNUM(DATE(YEAR('Score BD'!$I322),MONTH('Score BD'!$I322),1))+1</f>
        <v>4</v>
      </c>
    </row>
    <row r="322" spans="1:47" ht="17.45" customHeight="1" x14ac:dyDescent="0.3">
      <c r="A322" s="49" t="str">
        <f t="shared" si="44"/>
        <v>Ministerio de Educación Nacional</v>
      </c>
      <c r="B322" s="50">
        <f>+IFERROR(COUNTIF($J$3:J322,J322)," ")</f>
        <v>24</v>
      </c>
      <c r="C322" s="54" t="str">
        <f>+'Score BD'!$J322&amp;'Score BD'!$B322</f>
        <v>Natalia Cañón Betancourt24</v>
      </c>
      <c r="D322" s="91" t="s">
        <v>148</v>
      </c>
      <c r="E322" s="92" t="s">
        <v>164</v>
      </c>
      <c r="F322" s="92" t="s">
        <v>212</v>
      </c>
      <c r="G322" s="60" t="str">
        <f t="shared" si="45"/>
        <v>Noviembre</v>
      </c>
      <c r="H322" s="242">
        <v>45982</v>
      </c>
      <c r="I322" s="243">
        <v>45981</v>
      </c>
      <c r="J322" s="57" t="s">
        <v>181</v>
      </c>
      <c r="K322" s="54">
        <f>IFERROR(VLOOKUP('Score BD'!$J322,Lista!A:B,2,0)," ")</f>
        <v>1000383417</v>
      </c>
      <c r="L322" s="61" t="s">
        <v>569</v>
      </c>
      <c r="M322" s="59" t="s">
        <v>4</v>
      </c>
      <c r="N322" s="59" t="s">
        <v>4</v>
      </c>
      <c r="O322" s="59" t="s">
        <v>4</v>
      </c>
      <c r="P322" s="59" t="s">
        <v>4</v>
      </c>
      <c r="Q322" s="96">
        <f t="shared" si="46"/>
        <v>1</v>
      </c>
      <c r="R322" s="59" t="s">
        <v>4</v>
      </c>
      <c r="S322" s="59" t="s">
        <v>4</v>
      </c>
      <c r="T322" s="59" t="s">
        <v>4</v>
      </c>
      <c r="U322" s="59" t="s">
        <v>4</v>
      </c>
      <c r="V322" s="45">
        <f t="shared" si="47"/>
        <v>1</v>
      </c>
      <c r="W322" s="59" t="s">
        <v>4</v>
      </c>
      <c r="X322" s="59" t="s">
        <v>4</v>
      </c>
      <c r="Y322" s="59" t="s">
        <v>4</v>
      </c>
      <c r="Z322" s="59" t="s">
        <v>4</v>
      </c>
      <c r="AA322" s="59" t="s">
        <v>4</v>
      </c>
      <c r="AB322" s="59" t="s">
        <v>4</v>
      </c>
      <c r="AC322" s="45">
        <f t="shared" si="48"/>
        <v>1.000000000000002</v>
      </c>
      <c r="AD322" s="43" t="s">
        <v>4</v>
      </c>
      <c r="AE322" s="43" t="s">
        <v>4</v>
      </c>
      <c r="AF322" s="97">
        <f t="shared" si="49"/>
        <v>1</v>
      </c>
      <c r="AG322" s="44">
        <f t="shared" si="50"/>
        <v>1.0000000000000004</v>
      </c>
      <c r="AH322" s="55">
        <f t="shared" si="51"/>
        <v>0</v>
      </c>
      <c r="AI322" s="55">
        <f>COUNTIF('Score BD'!$M322:$P322,"no")</f>
        <v>0</v>
      </c>
      <c r="AJ322" s="55">
        <f t="shared" si="52"/>
        <v>0</v>
      </c>
      <c r="AK322" s="55">
        <f t="shared" si="53"/>
        <v>0</v>
      </c>
      <c r="AL322" s="55">
        <f t="shared" si="54"/>
        <v>0</v>
      </c>
      <c r="AM322" s="157" t="s">
        <v>587</v>
      </c>
      <c r="AN322" s="55"/>
      <c r="AO322" s="61"/>
      <c r="AP322" s="61"/>
      <c r="AQ322" s="59" t="str">
        <f>IFERROR(_xlfn.XLOOKUP(Tabla1[[#This Row],[Cedula agente]],Lista!$B$2:$B$97,Lista!$G$2:$G$97)," ")</f>
        <v>Luisa Fernanda Benavides Castrillon</v>
      </c>
      <c r="AR322" s="59" t="s">
        <v>162</v>
      </c>
      <c r="AS322" s="55" t="str">
        <f>IFERROR(_xlfn.XLOOKUP(Tabla1[[#This Row],[Cedula agente]],Lista!$B$2:$B$97,Lista!$F$2:$F$97)," ")</f>
        <v>John Sebastian Roncancio Avendaño</v>
      </c>
      <c r="AT322" s="99">
        <v>0.95</v>
      </c>
      <c r="AU322" s="200">
        <f>+WEEKNUM('Score BD'!$I323)-WEEKNUM(DATE(YEAR('Score BD'!$I323),MONTH('Score BD'!$I323),1))+1</f>
        <v>4</v>
      </c>
    </row>
    <row r="323" spans="1:47" ht="17.45" customHeight="1" x14ac:dyDescent="0.3">
      <c r="A323" s="49" t="str">
        <f t="shared" si="44"/>
        <v>Ministerio de Educación Nacional</v>
      </c>
      <c r="B323" s="50">
        <f>+IFERROR(COUNTIF($J$3:J323,J323)," ")</f>
        <v>12</v>
      </c>
      <c r="C323" s="54" t="str">
        <f>+'Score BD'!$J323&amp;'Score BD'!$B323</f>
        <v>Quira Alejandra Herrera Camelo12</v>
      </c>
      <c r="D323" s="91" t="s">
        <v>148</v>
      </c>
      <c r="E323" s="92" t="s">
        <v>208</v>
      </c>
      <c r="F323" s="92" t="s">
        <v>212</v>
      </c>
      <c r="G323" s="60" t="str">
        <f t="shared" si="45"/>
        <v>Noviembre</v>
      </c>
      <c r="H323" s="242">
        <v>45982</v>
      </c>
      <c r="I323" s="243">
        <v>45981</v>
      </c>
      <c r="J323" s="57" t="s">
        <v>182</v>
      </c>
      <c r="K323" s="54">
        <f>IFERROR(VLOOKUP('Score BD'!$J323,Lista!A:B,2,0)," ")</f>
        <v>1010214168</v>
      </c>
      <c r="L323" s="61" t="s">
        <v>470</v>
      </c>
      <c r="M323" s="59" t="s">
        <v>4</v>
      </c>
      <c r="N323" s="59" t="s">
        <v>4</v>
      </c>
      <c r="O323" s="59" t="s">
        <v>4</v>
      </c>
      <c r="P323" s="59" t="s">
        <v>4</v>
      </c>
      <c r="Q323" s="96">
        <f t="shared" si="46"/>
        <v>1</v>
      </c>
      <c r="R323" s="59" t="s">
        <v>4</v>
      </c>
      <c r="S323" s="59" t="s">
        <v>4</v>
      </c>
      <c r="T323" s="59" t="s">
        <v>4</v>
      </c>
      <c r="U323" s="59" t="s">
        <v>4</v>
      </c>
      <c r="V323" s="45">
        <f t="shared" si="47"/>
        <v>1</v>
      </c>
      <c r="W323" s="59" t="s">
        <v>4</v>
      </c>
      <c r="X323" s="59" t="s">
        <v>4</v>
      </c>
      <c r="Y323" s="59" t="s">
        <v>4</v>
      </c>
      <c r="Z323" s="59" t="s">
        <v>4</v>
      </c>
      <c r="AA323" s="59" t="s">
        <v>4</v>
      </c>
      <c r="AB323" s="59" t="s">
        <v>4</v>
      </c>
      <c r="AC323" s="45">
        <f t="shared" si="48"/>
        <v>1.000000000000002</v>
      </c>
      <c r="AD323" s="43" t="s">
        <v>4</v>
      </c>
      <c r="AE323" s="43" t="s">
        <v>4</v>
      </c>
      <c r="AF323" s="97">
        <f t="shared" si="49"/>
        <v>1</v>
      </c>
      <c r="AG323" s="44">
        <f t="shared" si="50"/>
        <v>1.0000000000000004</v>
      </c>
      <c r="AH323" s="55">
        <f t="shared" si="51"/>
        <v>0</v>
      </c>
      <c r="AI323" s="55">
        <f>COUNTIF('Score BD'!$M323:$P323,"no")</f>
        <v>0</v>
      </c>
      <c r="AJ323" s="55">
        <f t="shared" si="52"/>
        <v>0</v>
      </c>
      <c r="AK323" s="55">
        <f t="shared" si="53"/>
        <v>0</v>
      </c>
      <c r="AL323" s="55">
        <f t="shared" si="54"/>
        <v>0</v>
      </c>
      <c r="AM323" s="157" t="s">
        <v>587</v>
      </c>
      <c r="AN323" s="55"/>
      <c r="AO323" s="61"/>
      <c r="AP323" s="61"/>
      <c r="AQ323" s="59" t="str">
        <f>IFERROR(_xlfn.XLOOKUP(Tabla1[[#This Row],[Cedula agente]],Lista!$B$2:$B$97,Lista!$G$2:$G$97)," ")</f>
        <v>Luisa Fernanda Benavides Castrillon</v>
      </c>
      <c r="AR323" s="59" t="s">
        <v>162</v>
      </c>
      <c r="AS323" s="55" t="str">
        <f>IFERROR(_xlfn.XLOOKUP(Tabla1[[#This Row],[Cedula agente]],Lista!$B$2:$B$97,Lista!$F$2:$F$97)," ")</f>
        <v>John Sebastian Roncancio Avendaño</v>
      </c>
      <c r="AT323" s="99">
        <v>0.95</v>
      </c>
      <c r="AU323" s="200">
        <f>+WEEKNUM('Score BD'!$I324)-WEEKNUM(DATE(YEAR('Score BD'!$I324),MONTH('Score BD'!$I324),1))+1</f>
        <v>4</v>
      </c>
    </row>
    <row r="324" spans="1:47" ht="17.45" customHeight="1" x14ac:dyDescent="0.3">
      <c r="A324" s="49" t="str">
        <f t="shared" ref="A324:A387" si="55">+IF(B324&gt;0,"Ministerio de Educación Nacional"," ")</f>
        <v>Ministerio de Educación Nacional</v>
      </c>
      <c r="B324" s="50">
        <f>+IFERROR(COUNTIF($J$3:J324,J324)," ")</f>
        <v>13</v>
      </c>
      <c r="C324" s="54" t="str">
        <f>+'Score BD'!$J324&amp;'Score BD'!$B324</f>
        <v>Valentina Castillo Rondón13</v>
      </c>
      <c r="D324" s="91" t="s">
        <v>148</v>
      </c>
      <c r="E324" s="92" t="s">
        <v>165</v>
      </c>
      <c r="F324" s="92" t="s">
        <v>212</v>
      </c>
      <c r="G324" s="60" t="str">
        <f t="shared" ref="G324:G387" si="56">+PROPER(TEXT(H324,"mmmm"))</f>
        <v>Noviembre</v>
      </c>
      <c r="H324" s="242">
        <v>45982</v>
      </c>
      <c r="I324" s="243">
        <v>45981</v>
      </c>
      <c r="J324" s="57" t="s">
        <v>183</v>
      </c>
      <c r="K324" s="54">
        <f>IFERROR(VLOOKUP('Score BD'!$J324,Lista!A:B,2,0)," ")</f>
        <v>1121950095</v>
      </c>
      <c r="L324" s="61" t="s">
        <v>570</v>
      </c>
      <c r="M324" s="59" t="s">
        <v>4</v>
      </c>
      <c r="N324" s="59" t="s">
        <v>4</v>
      </c>
      <c r="O324" s="59" t="s">
        <v>4</v>
      </c>
      <c r="P324" s="59" t="s">
        <v>4</v>
      </c>
      <c r="Q324" s="96">
        <f t="shared" ref="Q324:Q387" si="57">+IF(M324="NO",0,25%)+IF(N324="NO",0,25%)+IF(O324="NO",0,25%)+IF(P324="NO",0,25%)</f>
        <v>1</v>
      </c>
      <c r="R324" s="59" t="s">
        <v>4</v>
      </c>
      <c r="S324" s="59" t="s">
        <v>4</v>
      </c>
      <c r="T324" s="59" t="s">
        <v>4</v>
      </c>
      <c r="U324" s="59" t="s">
        <v>4</v>
      </c>
      <c r="V324" s="45">
        <f t="shared" ref="V324:V387" si="58">+IF(R324="NO",0,25%)+IF(S324="NO",0,25%)+IF(T324="NO",0,25%)+IF(U324="NO",0,25%)</f>
        <v>1</v>
      </c>
      <c r="W324" s="59" t="s">
        <v>4</v>
      </c>
      <c r="X324" s="59" t="s">
        <v>4</v>
      </c>
      <c r="Y324" s="59" t="s">
        <v>4</v>
      </c>
      <c r="Z324" s="59" t="s">
        <v>4</v>
      </c>
      <c r="AA324" s="59" t="s">
        <v>4</v>
      </c>
      <c r="AB324" s="59" t="s">
        <v>4</v>
      </c>
      <c r="AC324" s="45">
        <f t="shared" ref="AC324:AC387" si="59">+IF(W324="NO",0%,16.6666666666667%)+IF(X324="NO",0%,16.6666666666667%)+IF(Y324="NO",0%,16.6666666666667%)+IF(Z324="NO",0%,16.6666666666667%)+IF(AA324="NO",0%,16.6666666666667%)+IF(AB324="NO",0%,16.6666666666667%)</f>
        <v>1.000000000000002</v>
      </c>
      <c r="AD324" s="43" t="s">
        <v>4</v>
      </c>
      <c r="AE324" s="43" t="s">
        <v>4</v>
      </c>
      <c r="AF324" s="97">
        <f t="shared" ref="AF324:AF387" si="60">+IF(AD324="NO",0%,50%)+IF(AE324="NO",0%,50%)</f>
        <v>1</v>
      </c>
      <c r="AG324" s="44">
        <f t="shared" ref="AG324:AG387" si="61">AVERAGE(AF324,AC324,V324,Q324)</f>
        <v>1.0000000000000004</v>
      </c>
      <c r="AH324" s="55">
        <f t="shared" ref="AH324:AH387" si="62">+COUNTIF(W324:AB324,"no")+COUNTIF(R324:U324,"no")+COUNTIF(AD324:AE324,"no")</f>
        <v>0</v>
      </c>
      <c r="AI324" s="55">
        <f>COUNTIF('Score BD'!$M324:$P324,"no")</f>
        <v>0</v>
      </c>
      <c r="AJ324" s="55">
        <f t="shared" ref="AJ324:AJ387" si="63">+IF(COUNTA(R324:U324)=0,"-",COUNTIF(R324:U324,"NO"))</f>
        <v>0</v>
      </c>
      <c r="AK324" s="55">
        <f t="shared" ref="AK324:AK387" si="64">+IF(COUNTA(W324:AB324)=0,"-",COUNTIF(W324:AB324,"NO"))</f>
        <v>0</v>
      </c>
      <c r="AL324" s="55">
        <f t="shared" ref="AL324:AL387" si="65">+IF(COUNTA(AD324:AE324)=0,"-",COUNTIF(AD324:AE324,"NO"))</f>
        <v>0</v>
      </c>
      <c r="AM324" s="157" t="s">
        <v>587</v>
      </c>
      <c r="AN324" s="55"/>
      <c r="AO324" s="61"/>
      <c r="AP324" s="61"/>
      <c r="AQ324" s="59" t="str">
        <f>IFERROR(_xlfn.XLOOKUP(Tabla1[[#This Row],[Cedula agente]],Lista!$B$2:$B$97,Lista!$G$2:$G$97)," ")</f>
        <v>Luisa Fernanda Benavides Castrillon</v>
      </c>
      <c r="AR324" s="59" t="s">
        <v>162</v>
      </c>
      <c r="AS324" s="55" t="str">
        <f>IFERROR(_xlfn.XLOOKUP(Tabla1[[#This Row],[Cedula agente]],Lista!$B$2:$B$97,Lista!$F$2:$F$97)," ")</f>
        <v>John Sebastian Roncancio Avendaño</v>
      </c>
      <c r="AT324" s="99">
        <v>0.95</v>
      </c>
      <c r="AU324" s="200">
        <f>+WEEKNUM('Score BD'!$I325)-WEEKNUM(DATE(YEAR('Score BD'!$I325),MONTH('Score BD'!$I325),1))+1</f>
        <v>4</v>
      </c>
    </row>
    <row r="325" spans="1:47" ht="17.45" customHeight="1" x14ac:dyDescent="0.3">
      <c r="A325" s="49" t="str">
        <f t="shared" si="55"/>
        <v>Ministerio de Educación Nacional</v>
      </c>
      <c r="B325" s="50">
        <f>+IFERROR(COUNTIF($J$3:J325,J325)," ")</f>
        <v>15</v>
      </c>
      <c r="C325" s="54" t="str">
        <f>+'Score BD'!$J325&amp;'Score BD'!$B325</f>
        <v>Yenny Maribel Duran Ovejero15</v>
      </c>
      <c r="D325" s="91" t="s">
        <v>148</v>
      </c>
      <c r="E325" s="92" t="s">
        <v>165</v>
      </c>
      <c r="F325" s="92" t="s">
        <v>212</v>
      </c>
      <c r="G325" s="60" t="str">
        <f t="shared" si="56"/>
        <v>Noviembre</v>
      </c>
      <c r="H325" s="242">
        <v>45982</v>
      </c>
      <c r="I325" s="243">
        <v>45981</v>
      </c>
      <c r="J325" s="57" t="s">
        <v>206</v>
      </c>
      <c r="K325" s="54">
        <f>IFERROR(VLOOKUP('Score BD'!$J325,Lista!A:B,2,0)," ")</f>
        <v>52962387</v>
      </c>
      <c r="L325" s="61" t="s">
        <v>571</v>
      </c>
      <c r="M325" s="59" t="s">
        <v>4</v>
      </c>
      <c r="N325" s="59" t="s">
        <v>4</v>
      </c>
      <c r="O325" s="59" t="s">
        <v>4</v>
      </c>
      <c r="P325" s="59" t="s">
        <v>4</v>
      </c>
      <c r="Q325" s="96">
        <f t="shared" si="57"/>
        <v>1</v>
      </c>
      <c r="R325" s="59" t="s">
        <v>4</v>
      </c>
      <c r="S325" s="59" t="s">
        <v>4</v>
      </c>
      <c r="T325" s="59" t="s">
        <v>4</v>
      </c>
      <c r="U325" s="59" t="s">
        <v>4</v>
      </c>
      <c r="V325" s="45">
        <f t="shared" si="58"/>
        <v>1</v>
      </c>
      <c r="W325" s="59" t="s">
        <v>4</v>
      </c>
      <c r="X325" s="59" t="s">
        <v>4</v>
      </c>
      <c r="Y325" s="59" t="s">
        <v>4</v>
      </c>
      <c r="Z325" s="59" t="s">
        <v>4</v>
      </c>
      <c r="AA325" s="59" t="s">
        <v>4</v>
      </c>
      <c r="AB325" s="59" t="s">
        <v>4</v>
      </c>
      <c r="AC325" s="45">
        <f t="shared" si="59"/>
        <v>1.000000000000002</v>
      </c>
      <c r="AD325" s="43" t="s">
        <v>4</v>
      </c>
      <c r="AE325" s="43" t="s">
        <v>4</v>
      </c>
      <c r="AF325" s="97">
        <f t="shared" si="60"/>
        <v>1</v>
      </c>
      <c r="AG325" s="44">
        <f t="shared" si="61"/>
        <v>1.0000000000000004</v>
      </c>
      <c r="AH325" s="55">
        <f t="shared" si="62"/>
        <v>0</v>
      </c>
      <c r="AI325" s="55">
        <f>COUNTIF('Score BD'!$M325:$P325,"no")</f>
        <v>0</v>
      </c>
      <c r="AJ325" s="55">
        <f t="shared" si="63"/>
        <v>0</v>
      </c>
      <c r="AK325" s="55">
        <f t="shared" si="64"/>
        <v>0</v>
      </c>
      <c r="AL325" s="55">
        <f t="shared" si="65"/>
        <v>0</v>
      </c>
      <c r="AM325" s="157" t="s">
        <v>587</v>
      </c>
      <c r="AN325" s="55"/>
      <c r="AO325" s="61"/>
      <c r="AP325" s="61"/>
      <c r="AQ325" s="59" t="str">
        <f>IFERROR(_xlfn.XLOOKUP(Tabla1[[#This Row],[Cedula agente]],Lista!$B$2:$B$97,Lista!$G$2:$G$97)," ")</f>
        <v>Luisa Fernanda Benavides Castrillon</v>
      </c>
      <c r="AR325" s="59" t="s">
        <v>162</v>
      </c>
      <c r="AS325" s="55" t="str">
        <f>IFERROR(_xlfn.XLOOKUP(Tabla1[[#This Row],[Cedula agente]],Lista!$B$2:$B$97,Lista!$F$2:$F$97)," ")</f>
        <v>John Sebastian Roncancio Avendaño</v>
      </c>
      <c r="AT325" s="99">
        <v>0.95</v>
      </c>
      <c r="AU325" s="200">
        <f>+WEEKNUM('Score BD'!$H325)-WEEKNUM(DATE(YEAR('Score BD'!$H325),MONTH('Score BD'!$H325),1))+1</f>
        <v>4</v>
      </c>
    </row>
    <row r="326" spans="1:47" ht="17.45" customHeight="1" x14ac:dyDescent="0.3">
      <c r="A326" s="49" t="str">
        <f t="shared" si="55"/>
        <v>Ministerio de Educación Nacional</v>
      </c>
      <c r="B326" s="50">
        <f>+IFERROR(COUNTIF($J$3:J326,J326)," ")</f>
        <v>36</v>
      </c>
      <c r="C326" s="54" t="str">
        <f>+'Score BD'!$J326&amp;'Score BD'!$B326</f>
        <v>Ana Graciela Barbosa Villalobos36</v>
      </c>
      <c r="D326" s="91" t="s">
        <v>148</v>
      </c>
      <c r="E326" s="92" t="s">
        <v>210</v>
      </c>
      <c r="F326" s="92" t="s">
        <v>212</v>
      </c>
      <c r="G326" s="60" t="str">
        <f t="shared" si="56"/>
        <v>Noviembre</v>
      </c>
      <c r="H326" s="67">
        <v>45985</v>
      </c>
      <c r="I326" s="243">
        <v>45982</v>
      </c>
      <c r="J326" s="57" t="s">
        <v>171</v>
      </c>
      <c r="K326" s="54">
        <f>IFERROR(VLOOKUP('Score BD'!$J326,Lista!A:B,2,0)," ")</f>
        <v>1026264261</v>
      </c>
      <c r="L326" s="61" t="s">
        <v>590</v>
      </c>
      <c r="M326" s="59" t="s">
        <v>4</v>
      </c>
      <c r="N326" s="59" t="s">
        <v>4</v>
      </c>
      <c r="O326" s="59" t="s">
        <v>4</v>
      </c>
      <c r="P326" s="59" t="s">
        <v>4</v>
      </c>
      <c r="Q326" s="96">
        <f t="shared" si="57"/>
        <v>1</v>
      </c>
      <c r="R326" s="59" t="s">
        <v>4</v>
      </c>
      <c r="S326" s="59" t="s">
        <v>4</v>
      </c>
      <c r="T326" s="59" t="s">
        <v>4</v>
      </c>
      <c r="U326" s="59" t="s">
        <v>4</v>
      </c>
      <c r="V326" s="45">
        <f t="shared" si="58"/>
        <v>1</v>
      </c>
      <c r="W326" s="59" t="s">
        <v>4</v>
      </c>
      <c r="X326" s="59" t="s">
        <v>4</v>
      </c>
      <c r="Y326" s="59" t="s">
        <v>4</v>
      </c>
      <c r="Z326" s="59" t="s">
        <v>4</v>
      </c>
      <c r="AA326" s="59" t="s">
        <v>4</v>
      </c>
      <c r="AB326" s="59" t="s">
        <v>4</v>
      </c>
      <c r="AC326" s="45">
        <f t="shared" si="59"/>
        <v>1.000000000000002</v>
      </c>
      <c r="AD326" s="43" t="s">
        <v>4</v>
      </c>
      <c r="AE326" s="43" t="s">
        <v>4</v>
      </c>
      <c r="AF326" s="97">
        <f t="shared" si="60"/>
        <v>1</v>
      </c>
      <c r="AG326" s="44">
        <f t="shared" si="61"/>
        <v>1.0000000000000004</v>
      </c>
      <c r="AH326" s="55">
        <f t="shared" si="62"/>
        <v>0</v>
      </c>
      <c r="AI326" s="55">
        <f>COUNTIF('Score BD'!$M326:$P326,"no")</f>
        <v>0</v>
      </c>
      <c r="AJ326" s="55">
        <f t="shared" si="63"/>
        <v>0</v>
      </c>
      <c r="AK326" s="55">
        <f t="shared" si="64"/>
        <v>0</v>
      </c>
      <c r="AL326" s="55">
        <f t="shared" si="65"/>
        <v>0</v>
      </c>
      <c r="AM326" s="157" t="s">
        <v>629</v>
      </c>
      <c r="AN326" s="55"/>
      <c r="AO326" s="61"/>
      <c r="AP326" s="61"/>
      <c r="AQ326" s="59" t="str">
        <f>IFERROR(_xlfn.XLOOKUP(Tabla1[[#This Row],[Cedula agente]],Lista!$B$2:$B$97,Lista!$G$2:$G$97)," ")</f>
        <v>Luisa Fernanda Benavides Castrillon</v>
      </c>
      <c r="AR326" s="59" t="s">
        <v>162</v>
      </c>
      <c r="AS326" s="55" t="str">
        <f>IFERROR(_xlfn.XLOOKUP(Tabla1[[#This Row],[Cedula agente]],Lista!$B$2:$B$97,Lista!$F$2:$F$97)," ")</f>
        <v>John Sebastian Roncancio Avendaño</v>
      </c>
      <c r="AT326" s="99">
        <v>0.95</v>
      </c>
      <c r="AU326" s="200">
        <f>+WEEKNUM('Score BD'!$I327)-WEEKNUM(DATE(YEAR('Score BD'!$I327),MONTH('Score BD'!$I327),1))+1</f>
        <v>4</v>
      </c>
    </row>
    <row r="327" spans="1:47" ht="17.45" customHeight="1" x14ac:dyDescent="0.3">
      <c r="A327" s="49" t="str">
        <f t="shared" si="55"/>
        <v>Ministerio de Educación Nacional</v>
      </c>
      <c r="B327" s="50">
        <f>+IFERROR(COUNTIF($J$3:J327,J327)," ")</f>
        <v>10</v>
      </c>
      <c r="C327" s="54" t="str">
        <f>+'Score BD'!$J327&amp;'Score BD'!$B327</f>
        <v>Andrés Felipe Silva Martínez10</v>
      </c>
      <c r="D327" s="91" t="s">
        <v>148</v>
      </c>
      <c r="E327" s="92" t="s">
        <v>208</v>
      </c>
      <c r="F327" s="92" t="s">
        <v>212</v>
      </c>
      <c r="G327" s="60" t="str">
        <f t="shared" si="56"/>
        <v>Noviembre</v>
      </c>
      <c r="H327" s="67">
        <v>45985</v>
      </c>
      <c r="I327" s="243">
        <v>45982</v>
      </c>
      <c r="J327" s="57" t="s">
        <v>228</v>
      </c>
      <c r="K327" s="54">
        <f>IFERROR(VLOOKUP('Score BD'!$J327,Lista!A:B,2,0)," ")</f>
        <v>1120362660</v>
      </c>
      <c r="L327" s="61" t="s">
        <v>449</v>
      </c>
      <c r="M327" s="59" t="s">
        <v>4</v>
      </c>
      <c r="N327" s="59" t="s">
        <v>4</v>
      </c>
      <c r="O327" s="59" t="s">
        <v>4</v>
      </c>
      <c r="P327" s="59" t="s">
        <v>4</v>
      </c>
      <c r="Q327" s="96">
        <f t="shared" si="57"/>
        <v>1</v>
      </c>
      <c r="R327" s="59" t="s">
        <v>4</v>
      </c>
      <c r="S327" s="59" t="s">
        <v>4</v>
      </c>
      <c r="T327" s="59" t="s">
        <v>4</v>
      </c>
      <c r="U327" s="59" t="s">
        <v>4</v>
      </c>
      <c r="V327" s="45">
        <f t="shared" si="58"/>
        <v>1</v>
      </c>
      <c r="W327" s="59" t="s">
        <v>4</v>
      </c>
      <c r="X327" s="59" t="s">
        <v>4</v>
      </c>
      <c r="Y327" s="59" t="s">
        <v>4</v>
      </c>
      <c r="Z327" s="59" t="s">
        <v>4</v>
      </c>
      <c r="AA327" s="59" t="s">
        <v>4</v>
      </c>
      <c r="AB327" s="59" t="s">
        <v>4</v>
      </c>
      <c r="AC327" s="45">
        <f t="shared" si="59"/>
        <v>1.000000000000002</v>
      </c>
      <c r="AD327" s="43" t="s">
        <v>4</v>
      </c>
      <c r="AE327" s="43" t="s">
        <v>4</v>
      </c>
      <c r="AF327" s="97">
        <f t="shared" si="60"/>
        <v>1</v>
      </c>
      <c r="AG327" s="44">
        <f t="shared" si="61"/>
        <v>1.0000000000000004</v>
      </c>
      <c r="AH327" s="55">
        <f t="shared" si="62"/>
        <v>0</v>
      </c>
      <c r="AI327" s="55">
        <f>COUNTIF('Score BD'!$M327:$P327,"no")</f>
        <v>0</v>
      </c>
      <c r="AJ327" s="55">
        <f t="shared" si="63"/>
        <v>0</v>
      </c>
      <c r="AK327" s="55">
        <f t="shared" si="64"/>
        <v>0</v>
      </c>
      <c r="AL327" s="55">
        <f t="shared" si="65"/>
        <v>0</v>
      </c>
      <c r="AM327" s="157" t="s">
        <v>629</v>
      </c>
      <c r="AN327" s="55"/>
      <c r="AO327" s="61"/>
      <c r="AP327" s="61"/>
      <c r="AQ327" s="59" t="str">
        <f>IFERROR(_xlfn.XLOOKUP(Tabla1[[#This Row],[Cedula agente]],Lista!$B$2:$B$97,Lista!$G$2:$G$97)," ")</f>
        <v>Luisa Fernanda Benavides Castrillon</v>
      </c>
      <c r="AR327" s="59" t="s">
        <v>162</v>
      </c>
      <c r="AS327" s="55" t="str">
        <f>IFERROR(_xlfn.XLOOKUP(Tabla1[[#This Row],[Cedula agente]],Lista!$B$2:$B$97,Lista!$F$2:$F$97)," ")</f>
        <v>John Sebastian Roncancio Avendaño</v>
      </c>
      <c r="AT327" s="99">
        <v>0.95</v>
      </c>
      <c r="AU327" s="200">
        <f>+WEEKNUM('Score BD'!$I328)-WEEKNUM(DATE(YEAR('Score BD'!$I328),MONTH('Score BD'!$I328),1))+1</f>
        <v>4</v>
      </c>
    </row>
    <row r="328" spans="1:47" ht="17.45" customHeight="1" x14ac:dyDescent="0.3">
      <c r="A328" s="49" t="str">
        <f t="shared" si="55"/>
        <v>Ministerio de Educación Nacional</v>
      </c>
      <c r="B328" s="50">
        <f>+IFERROR(COUNTIF($J$3:J328,J328)," ")</f>
        <v>34</v>
      </c>
      <c r="C328" s="54" t="str">
        <f>+'Score BD'!$J328&amp;'Score BD'!$B328</f>
        <v>Erika Natalia Ramírez Herrera34</v>
      </c>
      <c r="D328" s="91" t="s">
        <v>148</v>
      </c>
      <c r="E328" s="92" t="s">
        <v>164</v>
      </c>
      <c r="F328" s="92" t="s">
        <v>212</v>
      </c>
      <c r="G328" s="60" t="str">
        <f t="shared" si="56"/>
        <v>Noviembre</v>
      </c>
      <c r="H328" s="67">
        <v>45985</v>
      </c>
      <c r="I328" s="243">
        <v>45982</v>
      </c>
      <c r="J328" s="57" t="s">
        <v>174</v>
      </c>
      <c r="K328" s="54">
        <f>IFERROR(VLOOKUP('Score BD'!$J328,Lista!A:B,2,0)," ")</f>
        <v>1032367072</v>
      </c>
      <c r="L328" s="61" t="s">
        <v>591</v>
      </c>
      <c r="M328" s="59" t="s">
        <v>4</v>
      </c>
      <c r="N328" s="59" t="s">
        <v>4</v>
      </c>
      <c r="O328" s="59" t="s">
        <v>4</v>
      </c>
      <c r="P328" s="59" t="s">
        <v>4</v>
      </c>
      <c r="Q328" s="96">
        <f t="shared" si="57"/>
        <v>1</v>
      </c>
      <c r="R328" s="59" t="s">
        <v>4</v>
      </c>
      <c r="S328" s="59" t="s">
        <v>4</v>
      </c>
      <c r="T328" s="59" t="s">
        <v>4</v>
      </c>
      <c r="U328" s="59" t="s">
        <v>4</v>
      </c>
      <c r="V328" s="45">
        <f t="shared" si="58"/>
        <v>1</v>
      </c>
      <c r="W328" s="59" t="s">
        <v>4</v>
      </c>
      <c r="X328" s="59" t="s">
        <v>4</v>
      </c>
      <c r="Y328" s="59" t="s">
        <v>4</v>
      </c>
      <c r="Z328" s="59" t="s">
        <v>4</v>
      </c>
      <c r="AA328" s="59" t="s">
        <v>4</v>
      </c>
      <c r="AB328" s="59" t="s">
        <v>4</v>
      </c>
      <c r="AC328" s="45">
        <f t="shared" si="59"/>
        <v>1.000000000000002</v>
      </c>
      <c r="AD328" s="43" t="s">
        <v>4</v>
      </c>
      <c r="AE328" s="43" t="s">
        <v>4</v>
      </c>
      <c r="AF328" s="97">
        <f t="shared" si="60"/>
        <v>1</v>
      </c>
      <c r="AG328" s="44">
        <f t="shared" si="61"/>
        <v>1.0000000000000004</v>
      </c>
      <c r="AH328" s="55">
        <f t="shared" si="62"/>
        <v>0</v>
      </c>
      <c r="AI328" s="55">
        <f>COUNTIF('Score BD'!$M328:$P328,"no")</f>
        <v>0</v>
      </c>
      <c r="AJ328" s="55">
        <f t="shared" si="63"/>
        <v>0</v>
      </c>
      <c r="AK328" s="55">
        <f t="shared" si="64"/>
        <v>0</v>
      </c>
      <c r="AL328" s="55">
        <f t="shared" si="65"/>
        <v>0</v>
      </c>
      <c r="AM328" s="157" t="s">
        <v>629</v>
      </c>
      <c r="AN328" s="55"/>
      <c r="AO328" s="61"/>
      <c r="AP328" s="61"/>
      <c r="AQ328" s="59" t="str">
        <f>IFERROR(_xlfn.XLOOKUP(Tabla1[[#This Row],[Cedula agente]],Lista!$B$2:$B$97,Lista!$G$2:$G$97)," ")</f>
        <v>Luisa Fernanda Benavides Castrillon</v>
      </c>
      <c r="AR328" s="59" t="s">
        <v>162</v>
      </c>
      <c r="AS328" s="55" t="str">
        <f>IFERROR(_xlfn.XLOOKUP(Tabla1[[#This Row],[Cedula agente]],Lista!$B$2:$B$97,Lista!$F$2:$F$97)," ")</f>
        <v>John Sebastian Roncancio Avendaño</v>
      </c>
      <c r="AT328" s="99">
        <v>0.95</v>
      </c>
      <c r="AU328" s="200">
        <f>+WEEKNUM('Score BD'!$I329)-WEEKNUM(DATE(YEAR('Score BD'!$I329),MONTH('Score BD'!$I329),1))+1</f>
        <v>4</v>
      </c>
    </row>
    <row r="329" spans="1:47" ht="17.45" customHeight="1" x14ac:dyDescent="0.3">
      <c r="A329" s="49" t="str">
        <f t="shared" si="55"/>
        <v>Ministerio de Educación Nacional</v>
      </c>
      <c r="B329" s="50">
        <f>+IFERROR(COUNTIF($J$3:J329,J329)," ")</f>
        <v>35</v>
      </c>
      <c r="C329" s="54" t="str">
        <f>+'Score BD'!$J329&amp;'Score BD'!$B329</f>
        <v>Erika Natalia Ramírez Herrera35</v>
      </c>
      <c r="D329" s="91" t="s">
        <v>148</v>
      </c>
      <c r="E329" s="92" t="s">
        <v>164</v>
      </c>
      <c r="F329" s="92" t="s">
        <v>212</v>
      </c>
      <c r="G329" s="60" t="str">
        <f t="shared" si="56"/>
        <v>Noviembre</v>
      </c>
      <c r="H329" s="67">
        <v>45985</v>
      </c>
      <c r="I329" s="243">
        <v>45982</v>
      </c>
      <c r="J329" s="57" t="s">
        <v>174</v>
      </c>
      <c r="K329" s="54">
        <f>IFERROR(VLOOKUP('Score BD'!$J329,Lista!A:B,2,0)," ")</f>
        <v>1032367072</v>
      </c>
      <c r="L329" s="61" t="s">
        <v>592</v>
      </c>
      <c r="M329" s="59" t="s">
        <v>4</v>
      </c>
      <c r="N329" s="59" t="s">
        <v>4</v>
      </c>
      <c r="O329" s="59" t="s">
        <v>4</v>
      </c>
      <c r="P329" s="59" t="s">
        <v>4</v>
      </c>
      <c r="Q329" s="96">
        <f t="shared" si="57"/>
        <v>1</v>
      </c>
      <c r="R329" s="59" t="s">
        <v>4</v>
      </c>
      <c r="S329" s="59" t="s">
        <v>4</v>
      </c>
      <c r="T329" s="59" t="s">
        <v>4</v>
      </c>
      <c r="U329" s="59" t="s">
        <v>4</v>
      </c>
      <c r="V329" s="45">
        <f t="shared" si="58"/>
        <v>1</v>
      </c>
      <c r="W329" s="59" t="s">
        <v>4</v>
      </c>
      <c r="X329" s="59" t="s">
        <v>4</v>
      </c>
      <c r="Y329" s="59" t="s">
        <v>4</v>
      </c>
      <c r="Z329" s="59" t="s">
        <v>4</v>
      </c>
      <c r="AA329" s="59" t="s">
        <v>4</v>
      </c>
      <c r="AB329" s="59" t="s">
        <v>4</v>
      </c>
      <c r="AC329" s="45">
        <f t="shared" si="59"/>
        <v>1.000000000000002</v>
      </c>
      <c r="AD329" s="43" t="s">
        <v>4</v>
      </c>
      <c r="AE329" s="43" t="s">
        <v>4</v>
      </c>
      <c r="AF329" s="97">
        <f t="shared" si="60"/>
        <v>1</v>
      </c>
      <c r="AG329" s="44">
        <f t="shared" si="61"/>
        <v>1.0000000000000004</v>
      </c>
      <c r="AH329" s="55">
        <f t="shared" si="62"/>
        <v>0</v>
      </c>
      <c r="AI329" s="55">
        <f>COUNTIF('Score BD'!$M329:$P329,"no")</f>
        <v>0</v>
      </c>
      <c r="AJ329" s="55">
        <f t="shared" si="63"/>
        <v>0</v>
      </c>
      <c r="AK329" s="55">
        <f t="shared" si="64"/>
        <v>0</v>
      </c>
      <c r="AL329" s="55">
        <f t="shared" si="65"/>
        <v>0</v>
      </c>
      <c r="AM329" s="157" t="s">
        <v>629</v>
      </c>
      <c r="AN329" s="55"/>
      <c r="AO329" s="61"/>
      <c r="AP329" s="61"/>
      <c r="AQ329" s="59" t="str">
        <f>IFERROR(_xlfn.XLOOKUP(Tabla1[[#This Row],[Cedula agente]],Lista!$B$2:$B$97,Lista!$G$2:$G$97)," ")</f>
        <v>Luisa Fernanda Benavides Castrillon</v>
      </c>
      <c r="AR329" s="59" t="s">
        <v>162</v>
      </c>
      <c r="AS329" s="55" t="str">
        <f>IFERROR(_xlfn.XLOOKUP(Tabla1[[#This Row],[Cedula agente]],Lista!$B$2:$B$97,Lista!$F$2:$F$97)," ")</f>
        <v>John Sebastian Roncancio Avendaño</v>
      </c>
      <c r="AT329" s="99">
        <v>0.95</v>
      </c>
      <c r="AU329" s="200">
        <f>+WEEKNUM('Score BD'!$I330)-WEEKNUM(DATE(YEAR('Score BD'!$I330),MONTH('Score BD'!$I330),1))+1</f>
        <v>4</v>
      </c>
    </row>
    <row r="330" spans="1:47" ht="17.45" customHeight="1" x14ac:dyDescent="0.3">
      <c r="A330" s="49" t="str">
        <f t="shared" si="55"/>
        <v>Ministerio de Educación Nacional</v>
      </c>
      <c r="B330" s="50">
        <f>+IFERROR(COUNTIF($J$3:J330,J330)," ")</f>
        <v>26</v>
      </c>
      <c r="C330" s="54" t="str">
        <f>+'Score BD'!$J330&amp;'Score BD'!$B330</f>
        <v>Ingrid Carolina Monsalve Quintero26</v>
      </c>
      <c r="D330" s="91" t="s">
        <v>148</v>
      </c>
      <c r="E330" s="92" t="s">
        <v>164</v>
      </c>
      <c r="F330" s="92" t="s">
        <v>212</v>
      </c>
      <c r="G330" s="60" t="str">
        <f t="shared" si="56"/>
        <v>Noviembre</v>
      </c>
      <c r="H330" s="67">
        <v>45985</v>
      </c>
      <c r="I330" s="243">
        <v>45982</v>
      </c>
      <c r="J330" s="57" t="s">
        <v>176</v>
      </c>
      <c r="K330" s="54">
        <f>IFERROR(VLOOKUP('Score BD'!$J330,Lista!A:B,2,0)," ")</f>
        <v>52805909</v>
      </c>
      <c r="L330" s="61" t="s">
        <v>593</v>
      </c>
      <c r="M330" s="59" t="s">
        <v>4</v>
      </c>
      <c r="N330" s="59" t="s">
        <v>4</v>
      </c>
      <c r="O330" s="59" t="s">
        <v>4</v>
      </c>
      <c r="P330" s="59" t="s">
        <v>4</v>
      </c>
      <c r="Q330" s="96">
        <f t="shared" si="57"/>
        <v>1</v>
      </c>
      <c r="R330" s="59" t="s">
        <v>4</v>
      </c>
      <c r="S330" s="59" t="s">
        <v>4</v>
      </c>
      <c r="T330" s="59" t="s">
        <v>4</v>
      </c>
      <c r="U330" s="59" t="s">
        <v>4</v>
      </c>
      <c r="V330" s="45">
        <f t="shared" si="58"/>
        <v>1</v>
      </c>
      <c r="W330" s="59" t="s">
        <v>4</v>
      </c>
      <c r="X330" s="59" t="s">
        <v>4</v>
      </c>
      <c r="Y330" s="59" t="s">
        <v>4</v>
      </c>
      <c r="Z330" s="59" t="s">
        <v>4</v>
      </c>
      <c r="AA330" s="59" t="s">
        <v>4</v>
      </c>
      <c r="AB330" s="59" t="s">
        <v>4</v>
      </c>
      <c r="AC330" s="45">
        <f t="shared" si="59"/>
        <v>1.000000000000002</v>
      </c>
      <c r="AD330" s="43" t="s">
        <v>4</v>
      </c>
      <c r="AE330" s="43" t="s">
        <v>4</v>
      </c>
      <c r="AF330" s="97">
        <f t="shared" si="60"/>
        <v>1</v>
      </c>
      <c r="AG330" s="44">
        <f t="shared" si="61"/>
        <v>1.0000000000000004</v>
      </c>
      <c r="AH330" s="55">
        <f t="shared" si="62"/>
        <v>0</v>
      </c>
      <c r="AI330" s="55">
        <f>COUNTIF('Score BD'!$M330:$P330,"no")</f>
        <v>0</v>
      </c>
      <c r="AJ330" s="55">
        <f t="shared" si="63"/>
        <v>0</v>
      </c>
      <c r="AK330" s="55">
        <f t="shared" si="64"/>
        <v>0</v>
      </c>
      <c r="AL330" s="55">
        <f t="shared" si="65"/>
        <v>0</v>
      </c>
      <c r="AM330" s="157" t="s">
        <v>629</v>
      </c>
      <c r="AN330" s="55"/>
      <c r="AO330" s="61"/>
      <c r="AP330" s="61"/>
      <c r="AQ330" s="59" t="str">
        <f>IFERROR(_xlfn.XLOOKUP(Tabla1[[#This Row],[Cedula agente]],Lista!$B$2:$B$97,Lista!$G$2:$G$97)," ")</f>
        <v>Luisa Fernanda Benavides Castrillon</v>
      </c>
      <c r="AR330" s="59" t="s">
        <v>162</v>
      </c>
      <c r="AS330" s="55" t="str">
        <f>IFERROR(_xlfn.XLOOKUP(Tabla1[[#This Row],[Cedula agente]],Lista!$B$2:$B$97,Lista!$F$2:$F$97)," ")</f>
        <v>John Sebastian Roncancio Avendaño</v>
      </c>
      <c r="AT330" s="99">
        <v>0.95</v>
      </c>
      <c r="AU330" s="200">
        <f>+WEEKNUM('Score BD'!$I331)-WEEKNUM(DATE(YEAR('Score BD'!$I331),MONTH('Score BD'!$I331),1))+1</f>
        <v>4</v>
      </c>
    </row>
    <row r="331" spans="1:47" ht="17.45" customHeight="1" x14ac:dyDescent="0.3">
      <c r="A331" s="49" t="str">
        <f t="shared" si="55"/>
        <v>Ministerio de Educación Nacional</v>
      </c>
      <c r="B331" s="50">
        <f>+IFERROR(COUNTIF($J$3:J331,J331)," ")</f>
        <v>27</v>
      </c>
      <c r="C331" s="54" t="str">
        <f>+'Score BD'!$J331&amp;'Score BD'!$B331</f>
        <v>Ingrid Carolina Monsalve Quintero27</v>
      </c>
      <c r="D331" s="91" t="s">
        <v>148</v>
      </c>
      <c r="E331" s="92" t="s">
        <v>164</v>
      </c>
      <c r="F331" s="92" t="s">
        <v>212</v>
      </c>
      <c r="G331" s="60" t="str">
        <f t="shared" si="56"/>
        <v>Noviembre</v>
      </c>
      <c r="H331" s="67">
        <v>45985</v>
      </c>
      <c r="I331" s="243">
        <v>45982</v>
      </c>
      <c r="J331" s="57" t="s">
        <v>176</v>
      </c>
      <c r="K331" s="54">
        <f>IFERROR(VLOOKUP('Score BD'!$J331,Lista!A:B,2,0)," ")</f>
        <v>52805909</v>
      </c>
      <c r="L331" s="61" t="s">
        <v>594</v>
      </c>
      <c r="M331" s="59" t="s">
        <v>4</v>
      </c>
      <c r="N331" s="59" t="s">
        <v>4</v>
      </c>
      <c r="O331" s="59" t="s">
        <v>4</v>
      </c>
      <c r="P331" s="59" t="s">
        <v>4</v>
      </c>
      <c r="Q331" s="96">
        <f t="shared" si="57"/>
        <v>1</v>
      </c>
      <c r="R331" s="59" t="s">
        <v>4</v>
      </c>
      <c r="S331" s="59" t="s">
        <v>4</v>
      </c>
      <c r="T331" s="59" t="s">
        <v>4</v>
      </c>
      <c r="U331" s="59" t="s">
        <v>4</v>
      </c>
      <c r="V331" s="45">
        <f t="shared" si="58"/>
        <v>1</v>
      </c>
      <c r="W331" s="59" t="s">
        <v>4</v>
      </c>
      <c r="X331" s="59" t="s">
        <v>4</v>
      </c>
      <c r="Y331" s="59" t="s">
        <v>4</v>
      </c>
      <c r="Z331" s="59" t="s">
        <v>4</v>
      </c>
      <c r="AA331" s="59" t="s">
        <v>4</v>
      </c>
      <c r="AB331" s="59" t="s">
        <v>4</v>
      </c>
      <c r="AC331" s="45">
        <f t="shared" si="59"/>
        <v>1.000000000000002</v>
      </c>
      <c r="AD331" s="43" t="s">
        <v>4</v>
      </c>
      <c r="AE331" s="43" t="s">
        <v>4</v>
      </c>
      <c r="AF331" s="97">
        <f t="shared" si="60"/>
        <v>1</v>
      </c>
      <c r="AG331" s="44">
        <f t="shared" si="61"/>
        <v>1.0000000000000004</v>
      </c>
      <c r="AH331" s="55">
        <f t="shared" si="62"/>
        <v>0</v>
      </c>
      <c r="AI331" s="55">
        <f>COUNTIF('Score BD'!$M331:$P331,"no")</f>
        <v>0</v>
      </c>
      <c r="AJ331" s="55">
        <f t="shared" si="63"/>
        <v>0</v>
      </c>
      <c r="AK331" s="55">
        <f t="shared" si="64"/>
        <v>0</v>
      </c>
      <c r="AL331" s="55">
        <f t="shared" si="65"/>
        <v>0</v>
      </c>
      <c r="AM331" s="157" t="s">
        <v>629</v>
      </c>
      <c r="AN331" s="55"/>
      <c r="AO331" s="102"/>
      <c r="AP331" s="61"/>
      <c r="AQ331" s="59" t="str">
        <f>IFERROR(_xlfn.XLOOKUP(Tabla1[[#This Row],[Cedula agente]],Lista!$B$2:$B$97,Lista!$G$2:$G$97)," ")</f>
        <v>Luisa Fernanda Benavides Castrillon</v>
      </c>
      <c r="AR331" s="59" t="s">
        <v>162</v>
      </c>
      <c r="AS331" s="55" t="str">
        <f>IFERROR(_xlfn.XLOOKUP(Tabla1[[#This Row],[Cedula agente]],Lista!$B$2:$B$97,Lista!$F$2:$F$97)," ")</f>
        <v>John Sebastian Roncancio Avendaño</v>
      </c>
      <c r="AT331" s="99">
        <v>0.95</v>
      </c>
      <c r="AU331" s="200">
        <f>+WEEKNUM('Score BD'!$I332)-WEEKNUM(DATE(YEAR('Score BD'!$I332),MONTH('Score BD'!$I332),1))+1</f>
        <v>4</v>
      </c>
    </row>
    <row r="332" spans="1:47" ht="17.45" customHeight="1" x14ac:dyDescent="0.3">
      <c r="A332" s="49" t="str">
        <f t="shared" si="55"/>
        <v>Ministerio de Educación Nacional</v>
      </c>
      <c r="B332" s="50">
        <f>+IFERROR(COUNTIF($J$3:J332,J332)," ")</f>
        <v>11</v>
      </c>
      <c r="C332" s="54" t="str">
        <f>+'Score BD'!$J332&amp;'Score BD'!$B332</f>
        <v>Jesus David Hernandez Fernandez de Castro11</v>
      </c>
      <c r="D332" s="91" t="s">
        <v>148</v>
      </c>
      <c r="E332" s="92" t="s">
        <v>208</v>
      </c>
      <c r="F332" s="92" t="s">
        <v>212</v>
      </c>
      <c r="G332" s="60" t="str">
        <f t="shared" si="56"/>
        <v>Noviembre</v>
      </c>
      <c r="H332" s="67">
        <v>45985</v>
      </c>
      <c r="I332" s="243">
        <v>45982</v>
      </c>
      <c r="J332" s="57" t="s">
        <v>177</v>
      </c>
      <c r="K332" s="54">
        <f>IFERROR(VLOOKUP('Score BD'!$J332,Lista!A:B,2,0)," ")</f>
        <v>1083038013</v>
      </c>
      <c r="L332" s="61" t="s">
        <v>595</v>
      </c>
      <c r="M332" s="59" t="s">
        <v>4</v>
      </c>
      <c r="N332" s="59" t="s">
        <v>5</v>
      </c>
      <c r="O332" s="59" t="s">
        <v>4</v>
      </c>
      <c r="P332" s="59" t="s">
        <v>4</v>
      </c>
      <c r="Q332" s="96">
        <f t="shared" si="57"/>
        <v>0.75</v>
      </c>
      <c r="R332" s="59" t="s">
        <v>4</v>
      </c>
      <c r="S332" s="59" t="s">
        <v>4</v>
      </c>
      <c r="T332" s="59" t="s">
        <v>4</v>
      </c>
      <c r="U332" s="59" t="s">
        <v>4</v>
      </c>
      <c r="V332" s="45">
        <f t="shared" si="58"/>
        <v>1</v>
      </c>
      <c r="W332" s="59" t="s">
        <v>4</v>
      </c>
      <c r="X332" s="59" t="s">
        <v>4</v>
      </c>
      <c r="Y332" s="59" t="s">
        <v>4</v>
      </c>
      <c r="Z332" s="59" t="s">
        <v>4</v>
      </c>
      <c r="AA332" s="59" t="s">
        <v>4</v>
      </c>
      <c r="AB332" s="59" t="s">
        <v>4</v>
      </c>
      <c r="AC332" s="45">
        <f t="shared" si="59"/>
        <v>1.000000000000002</v>
      </c>
      <c r="AD332" s="43" t="s">
        <v>4</v>
      </c>
      <c r="AE332" s="43" t="s">
        <v>4</v>
      </c>
      <c r="AF332" s="97">
        <f t="shared" si="60"/>
        <v>1</v>
      </c>
      <c r="AG332" s="44">
        <f t="shared" si="61"/>
        <v>0.93750000000000044</v>
      </c>
      <c r="AH332" s="55">
        <f t="shared" si="62"/>
        <v>0</v>
      </c>
      <c r="AI332" s="55">
        <f>COUNTIF('Score BD'!$M332:$P332,"no")</f>
        <v>1</v>
      </c>
      <c r="AJ332" s="55">
        <f t="shared" si="63"/>
        <v>0</v>
      </c>
      <c r="AK332" s="55">
        <f t="shared" si="64"/>
        <v>0</v>
      </c>
      <c r="AL332" s="55">
        <f t="shared" si="65"/>
        <v>0</v>
      </c>
      <c r="AM332" s="59" t="s">
        <v>626</v>
      </c>
      <c r="AN332" s="55" t="s">
        <v>627</v>
      </c>
      <c r="AO332" s="61" t="s">
        <v>270</v>
      </c>
      <c r="AP332" s="61" t="s">
        <v>628</v>
      </c>
      <c r="AQ332" s="59" t="str">
        <f>IFERROR(_xlfn.XLOOKUP(Tabla1[[#This Row],[Cedula agente]],Lista!$B$2:$B$97,Lista!$G$2:$G$97)," ")</f>
        <v>Luisa Fernanda Benavides Castrillon</v>
      </c>
      <c r="AR332" s="59" t="s">
        <v>162</v>
      </c>
      <c r="AS332" s="55" t="str">
        <f>IFERROR(_xlfn.XLOOKUP(Tabla1[[#This Row],[Cedula agente]],Lista!$B$2:$B$97,Lista!$F$2:$F$97)," ")</f>
        <v>John Sebastian Roncancio Avendaño</v>
      </c>
      <c r="AT332" s="99">
        <v>0.95</v>
      </c>
      <c r="AU332" s="200">
        <f>+WEEKNUM('Score BD'!$I333)-WEEKNUM(DATE(YEAR('Score BD'!$I333),MONTH('Score BD'!$I333),1))+1</f>
        <v>4</v>
      </c>
    </row>
    <row r="333" spans="1:47" ht="17.45" customHeight="1" x14ac:dyDescent="0.3">
      <c r="A333" s="49" t="str">
        <f t="shared" si="55"/>
        <v>Ministerio de Educación Nacional</v>
      </c>
      <c r="B333" s="50">
        <f>+IFERROR(COUNTIF($J$3:J333,J333)," ")</f>
        <v>26</v>
      </c>
      <c r="C333" s="54" t="str">
        <f>+'Score BD'!$J333&amp;'Score BD'!$B333</f>
        <v>Maira Alejandra Rodriguez Losada26</v>
      </c>
      <c r="D333" s="91" t="s">
        <v>148</v>
      </c>
      <c r="E333" s="92" t="s">
        <v>164</v>
      </c>
      <c r="F333" s="92" t="s">
        <v>212</v>
      </c>
      <c r="G333" s="60" t="str">
        <f t="shared" si="56"/>
        <v>Noviembre</v>
      </c>
      <c r="H333" s="67">
        <v>45985</v>
      </c>
      <c r="I333" s="243">
        <v>45982</v>
      </c>
      <c r="J333" s="57" t="s">
        <v>204</v>
      </c>
      <c r="K333" s="54">
        <f>IFERROR(VLOOKUP('Score BD'!$J333,Lista!A:B,2,0)," ")</f>
        <v>1075224344</v>
      </c>
      <c r="L333" s="61" t="s">
        <v>596</v>
      </c>
      <c r="M333" s="59" t="s">
        <v>4</v>
      </c>
      <c r="N333" s="59" t="s">
        <v>4</v>
      </c>
      <c r="O333" s="59" t="s">
        <v>4</v>
      </c>
      <c r="P333" s="59" t="s">
        <v>4</v>
      </c>
      <c r="Q333" s="96">
        <f t="shared" si="57"/>
        <v>1</v>
      </c>
      <c r="R333" s="59" t="s">
        <v>4</v>
      </c>
      <c r="S333" s="59" t="s">
        <v>4</v>
      </c>
      <c r="T333" s="59" t="s">
        <v>4</v>
      </c>
      <c r="U333" s="59" t="s">
        <v>4</v>
      </c>
      <c r="V333" s="45">
        <f t="shared" si="58"/>
        <v>1</v>
      </c>
      <c r="W333" s="59" t="s">
        <v>4</v>
      </c>
      <c r="X333" s="59" t="s">
        <v>4</v>
      </c>
      <c r="Y333" s="59" t="s">
        <v>4</v>
      </c>
      <c r="Z333" s="59" t="s">
        <v>4</v>
      </c>
      <c r="AA333" s="59" t="s">
        <v>4</v>
      </c>
      <c r="AB333" s="59" t="s">
        <v>4</v>
      </c>
      <c r="AC333" s="45">
        <f t="shared" si="59"/>
        <v>1.000000000000002</v>
      </c>
      <c r="AD333" s="43" t="s">
        <v>4</v>
      </c>
      <c r="AE333" s="43" t="s">
        <v>4</v>
      </c>
      <c r="AF333" s="97">
        <f t="shared" si="60"/>
        <v>1</v>
      </c>
      <c r="AG333" s="44">
        <f t="shared" si="61"/>
        <v>1.0000000000000004</v>
      </c>
      <c r="AH333" s="55">
        <f t="shared" si="62"/>
        <v>0</v>
      </c>
      <c r="AI333" s="55">
        <f>COUNTIF('Score BD'!$M333:$P333,"no")</f>
        <v>0</v>
      </c>
      <c r="AJ333" s="55">
        <f t="shared" si="63"/>
        <v>0</v>
      </c>
      <c r="AK333" s="55">
        <f t="shared" si="64"/>
        <v>0</v>
      </c>
      <c r="AL333" s="55">
        <f t="shared" si="65"/>
        <v>0</v>
      </c>
      <c r="AM333" s="157" t="s">
        <v>629</v>
      </c>
      <c r="AN333" s="55"/>
      <c r="AO333" s="61"/>
      <c r="AP333" s="61"/>
      <c r="AQ333" s="59" t="str">
        <f>IFERROR(_xlfn.XLOOKUP(Tabla1[[#This Row],[Cedula agente]],Lista!$B$2:$B$97,Lista!$G$2:$G$97)," ")</f>
        <v>Luisa Fernanda Benavides Castrillon</v>
      </c>
      <c r="AR333" s="59" t="s">
        <v>162</v>
      </c>
      <c r="AS333" s="55" t="str">
        <f>IFERROR(_xlfn.XLOOKUP(Tabla1[[#This Row],[Cedula agente]],Lista!$B$2:$B$97,Lista!$F$2:$F$97)," ")</f>
        <v>John Sebastian Roncancio Avendaño</v>
      </c>
      <c r="AT333" s="99">
        <v>0.95</v>
      </c>
      <c r="AU333" s="200">
        <f>+WEEKNUM('Score BD'!$I334)-WEEKNUM(DATE(YEAR('Score BD'!$I334),MONTH('Score BD'!$I334),1))+1</f>
        <v>4</v>
      </c>
    </row>
    <row r="334" spans="1:47" ht="17.45" customHeight="1" x14ac:dyDescent="0.3">
      <c r="A334" s="49" t="str">
        <f t="shared" si="55"/>
        <v>Ministerio de Educación Nacional</v>
      </c>
      <c r="B334" s="50">
        <f>+IFERROR(COUNTIF($J$3:J334,J334)," ")</f>
        <v>27</v>
      </c>
      <c r="C334" s="54" t="str">
        <f>+'Score BD'!$J334&amp;'Score BD'!$B334</f>
        <v>Maira Alejandra Rodriguez Losada27</v>
      </c>
      <c r="D334" s="91" t="s">
        <v>148</v>
      </c>
      <c r="E334" s="92" t="s">
        <v>164</v>
      </c>
      <c r="F334" s="92" t="s">
        <v>212</v>
      </c>
      <c r="G334" s="60" t="str">
        <f t="shared" si="56"/>
        <v>Noviembre</v>
      </c>
      <c r="H334" s="67">
        <v>45985</v>
      </c>
      <c r="I334" s="243">
        <v>45982</v>
      </c>
      <c r="J334" s="57" t="s">
        <v>204</v>
      </c>
      <c r="K334" s="54">
        <f>IFERROR(VLOOKUP('Score BD'!$J334,Lista!A:B,2,0)," ")</f>
        <v>1075224344</v>
      </c>
      <c r="L334" s="61" t="s">
        <v>597</v>
      </c>
      <c r="M334" s="59" t="s">
        <v>4</v>
      </c>
      <c r="N334" s="59" t="s">
        <v>4</v>
      </c>
      <c r="O334" s="59" t="s">
        <v>4</v>
      </c>
      <c r="P334" s="59" t="s">
        <v>4</v>
      </c>
      <c r="Q334" s="96">
        <f t="shared" si="57"/>
        <v>1</v>
      </c>
      <c r="R334" s="59" t="s">
        <v>4</v>
      </c>
      <c r="S334" s="59" t="s">
        <v>4</v>
      </c>
      <c r="T334" s="59" t="s">
        <v>4</v>
      </c>
      <c r="U334" s="59" t="s">
        <v>4</v>
      </c>
      <c r="V334" s="45">
        <f t="shared" si="58"/>
        <v>1</v>
      </c>
      <c r="W334" s="59" t="s">
        <v>4</v>
      </c>
      <c r="X334" s="59" t="s">
        <v>4</v>
      </c>
      <c r="Y334" s="59" t="s">
        <v>4</v>
      </c>
      <c r="Z334" s="59" t="s">
        <v>4</v>
      </c>
      <c r="AA334" s="59" t="s">
        <v>4</v>
      </c>
      <c r="AB334" s="59" t="s">
        <v>4</v>
      </c>
      <c r="AC334" s="45">
        <f t="shared" si="59"/>
        <v>1.000000000000002</v>
      </c>
      <c r="AD334" s="43" t="s">
        <v>4</v>
      </c>
      <c r="AE334" s="43" t="s">
        <v>4</v>
      </c>
      <c r="AF334" s="97">
        <f t="shared" si="60"/>
        <v>1</v>
      </c>
      <c r="AG334" s="44">
        <f t="shared" si="61"/>
        <v>1.0000000000000004</v>
      </c>
      <c r="AH334" s="55">
        <f t="shared" si="62"/>
        <v>0</v>
      </c>
      <c r="AI334" s="55">
        <f>COUNTIF('Score BD'!$M334:$P334,"no")</f>
        <v>0</v>
      </c>
      <c r="AJ334" s="55">
        <f t="shared" si="63"/>
        <v>0</v>
      </c>
      <c r="AK334" s="55">
        <f t="shared" si="64"/>
        <v>0</v>
      </c>
      <c r="AL334" s="55">
        <f t="shared" si="65"/>
        <v>0</v>
      </c>
      <c r="AM334" s="157" t="s">
        <v>629</v>
      </c>
      <c r="AN334" s="55"/>
      <c r="AO334" s="61"/>
      <c r="AP334" s="61"/>
      <c r="AQ334" s="59" t="str">
        <f>IFERROR(_xlfn.XLOOKUP(Tabla1[[#This Row],[Cedula agente]],Lista!$B$2:$B$97,Lista!$G$2:$G$97)," ")</f>
        <v>Luisa Fernanda Benavides Castrillon</v>
      </c>
      <c r="AR334" s="59" t="s">
        <v>162</v>
      </c>
      <c r="AS334" s="55" t="str">
        <f>IFERROR(_xlfn.XLOOKUP(Tabla1[[#This Row],[Cedula agente]],Lista!$B$2:$B$97,Lista!$F$2:$F$97)," ")</f>
        <v>John Sebastian Roncancio Avendaño</v>
      </c>
      <c r="AT334" s="99">
        <v>0.95</v>
      </c>
      <c r="AU334" s="200">
        <f>+WEEKNUM('Score BD'!$I335)-WEEKNUM(DATE(YEAR('Score BD'!$I335),MONTH('Score BD'!$I335),1))+1</f>
        <v>4</v>
      </c>
    </row>
    <row r="335" spans="1:47" ht="17.45" customHeight="1" x14ac:dyDescent="0.3">
      <c r="A335" s="49" t="str">
        <f t="shared" si="55"/>
        <v>Ministerio de Educación Nacional</v>
      </c>
      <c r="B335" s="50">
        <f>+IFERROR(COUNTIF($J$3:J335,J335)," ")</f>
        <v>25</v>
      </c>
      <c r="C335" s="54" t="str">
        <f>+'Score BD'!$J335&amp;'Score BD'!$B335</f>
        <v>María José Uribe Medina25</v>
      </c>
      <c r="D335" s="91" t="s">
        <v>148</v>
      </c>
      <c r="E335" s="92" t="s">
        <v>164</v>
      </c>
      <c r="F335" s="92" t="s">
        <v>212</v>
      </c>
      <c r="G335" s="60" t="str">
        <f t="shared" si="56"/>
        <v>Noviembre</v>
      </c>
      <c r="H335" s="67">
        <v>45985</v>
      </c>
      <c r="I335" s="243">
        <v>45982</v>
      </c>
      <c r="J335" s="57" t="s">
        <v>205</v>
      </c>
      <c r="K335" s="54">
        <f>IFERROR(VLOOKUP('Score BD'!$J335,Lista!A:B,2,0)," ")</f>
        <v>1121919150</v>
      </c>
      <c r="L335" s="61" t="s">
        <v>598</v>
      </c>
      <c r="M335" s="59" t="s">
        <v>4</v>
      </c>
      <c r="N335" s="59" t="s">
        <v>4</v>
      </c>
      <c r="O335" s="59" t="s">
        <v>4</v>
      </c>
      <c r="P335" s="59" t="s">
        <v>4</v>
      </c>
      <c r="Q335" s="96">
        <f t="shared" si="57"/>
        <v>1</v>
      </c>
      <c r="R335" s="59" t="s">
        <v>4</v>
      </c>
      <c r="S335" s="59" t="s">
        <v>4</v>
      </c>
      <c r="T335" s="59" t="s">
        <v>4</v>
      </c>
      <c r="U335" s="59" t="s">
        <v>4</v>
      </c>
      <c r="V335" s="45">
        <f t="shared" si="58"/>
        <v>1</v>
      </c>
      <c r="W335" s="59" t="s">
        <v>4</v>
      </c>
      <c r="X335" s="59" t="s">
        <v>4</v>
      </c>
      <c r="Y335" s="59" t="s">
        <v>4</v>
      </c>
      <c r="Z335" s="59" t="s">
        <v>4</v>
      </c>
      <c r="AA335" s="59" t="s">
        <v>4</v>
      </c>
      <c r="AB335" s="59" t="s">
        <v>4</v>
      </c>
      <c r="AC335" s="45">
        <f t="shared" si="59"/>
        <v>1.000000000000002</v>
      </c>
      <c r="AD335" s="43" t="s">
        <v>4</v>
      </c>
      <c r="AE335" s="43" t="s">
        <v>4</v>
      </c>
      <c r="AF335" s="97">
        <f t="shared" si="60"/>
        <v>1</v>
      </c>
      <c r="AG335" s="44">
        <f t="shared" si="61"/>
        <v>1.0000000000000004</v>
      </c>
      <c r="AH335" s="55">
        <f t="shared" si="62"/>
        <v>0</v>
      </c>
      <c r="AI335" s="55">
        <f>COUNTIF('Score BD'!$M335:$P335,"no")</f>
        <v>0</v>
      </c>
      <c r="AJ335" s="55">
        <f t="shared" si="63"/>
        <v>0</v>
      </c>
      <c r="AK335" s="55">
        <f t="shared" si="64"/>
        <v>0</v>
      </c>
      <c r="AL335" s="55">
        <f t="shared" si="65"/>
        <v>0</v>
      </c>
      <c r="AM335" s="157" t="s">
        <v>629</v>
      </c>
      <c r="AN335" s="55"/>
      <c r="AO335" s="61"/>
      <c r="AP335" s="61"/>
      <c r="AQ335" s="59" t="str">
        <f>IFERROR(_xlfn.XLOOKUP(Tabla1[[#This Row],[Cedula agente]],Lista!$B$2:$B$97,Lista!$G$2:$G$97)," ")</f>
        <v>Luisa Fernanda Benavides Castrillon</v>
      </c>
      <c r="AR335" s="59" t="s">
        <v>162</v>
      </c>
      <c r="AS335" s="55" t="str">
        <f>IFERROR(_xlfn.XLOOKUP(Tabla1[[#This Row],[Cedula agente]],Lista!$B$2:$B$97,Lista!$F$2:$F$97)," ")</f>
        <v>John Sebastian Roncancio Avendaño</v>
      </c>
      <c r="AT335" s="99">
        <v>0.95</v>
      </c>
      <c r="AU335" s="200">
        <f>+WEEKNUM('Score BD'!$I336)-WEEKNUM(DATE(YEAR('Score BD'!$I336),MONTH('Score BD'!$I336),1))+1</f>
        <v>4</v>
      </c>
    </row>
    <row r="336" spans="1:47" ht="17.45" customHeight="1" x14ac:dyDescent="0.3">
      <c r="A336" s="49" t="str">
        <f t="shared" si="55"/>
        <v>Ministerio de Educación Nacional</v>
      </c>
      <c r="B336" s="50">
        <f>+IFERROR(COUNTIF($J$3:J336,J336)," ")</f>
        <v>26</v>
      </c>
      <c r="C336" s="54" t="str">
        <f>+'Score BD'!$J336&amp;'Score BD'!$B336</f>
        <v>María José Uribe Medina26</v>
      </c>
      <c r="D336" s="91" t="s">
        <v>148</v>
      </c>
      <c r="E336" s="92" t="s">
        <v>164</v>
      </c>
      <c r="F336" s="92" t="s">
        <v>212</v>
      </c>
      <c r="G336" s="60" t="str">
        <f t="shared" si="56"/>
        <v>Noviembre</v>
      </c>
      <c r="H336" s="67">
        <v>45985</v>
      </c>
      <c r="I336" s="243">
        <v>45982</v>
      </c>
      <c r="J336" s="57" t="s">
        <v>205</v>
      </c>
      <c r="K336" s="54">
        <f>IFERROR(VLOOKUP('Score BD'!$J336,Lista!A:B,2,0)," ")</f>
        <v>1121919150</v>
      </c>
      <c r="L336" s="61" t="s">
        <v>599</v>
      </c>
      <c r="M336" s="59" t="s">
        <v>4</v>
      </c>
      <c r="N336" s="59" t="s">
        <v>4</v>
      </c>
      <c r="O336" s="59" t="s">
        <v>4</v>
      </c>
      <c r="P336" s="59" t="s">
        <v>4</v>
      </c>
      <c r="Q336" s="96">
        <f t="shared" si="57"/>
        <v>1</v>
      </c>
      <c r="R336" s="59" t="s">
        <v>4</v>
      </c>
      <c r="S336" s="59" t="s">
        <v>4</v>
      </c>
      <c r="T336" s="59" t="s">
        <v>4</v>
      </c>
      <c r="U336" s="59" t="s">
        <v>4</v>
      </c>
      <c r="V336" s="45">
        <f t="shared" si="58"/>
        <v>1</v>
      </c>
      <c r="W336" s="59" t="s">
        <v>4</v>
      </c>
      <c r="X336" s="59" t="s">
        <v>4</v>
      </c>
      <c r="Y336" s="59" t="s">
        <v>4</v>
      </c>
      <c r="Z336" s="59" t="s">
        <v>4</v>
      </c>
      <c r="AA336" s="59" t="s">
        <v>4</v>
      </c>
      <c r="AB336" s="59" t="s">
        <v>4</v>
      </c>
      <c r="AC336" s="45">
        <f t="shared" si="59"/>
        <v>1.000000000000002</v>
      </c>
      <c r="AD336" s="43" t="s">
        <v>4</v>
      </c>
      <c r="AE336" s="43" t="s">
        <v>4</v>
      </c>
      <c r="AF336" s="97">
        <f t="shared" si="60"/>
        <v>1</v>
      </c>
      <c r="AG336" s="44">
        <f t="shared" si="61"/>
        <v>1.0000000000000004</v>
      </c>
      <c r="AH336" s="55">
        <f t="shared" si="62"/>
        <v>0</v>
      </c>
      <c r="AI336" s="55">
        <f>COUNTIF('Score BD'!$M336:$P336,"no")</f>
        <v>0</v>
      </c>
      <c r="AJ336" s="55">
        <f t="shared" si="63"/>
        <v>0</v>
      </c>
      <c r="AK336" s="55">
        <f t="shared" si="64"/>
        <v>0</v>
      </c>
      <c r="AL336" s="55">
        <f t="shared" si="65"/>
        <v>0</v>
      </c>
      <c r="AM336" s="157" t="s">
        <v>629</v>
      </c>
      <c r="AN336" s="55"/>
      <c r="AO336" s="61"/>
      <c r="AP336" s="61"/>
      <c r="AQ336" s="59" t="str">
        <f>IFERROR(_xlfn.XLOOKUP(Tabla1[[#This Row],[Cedula agente]],Lista!$B$2:$B$97,Lista!$G$2:$G$97)," ")</f>
        <v>Luisa Fernanda Benavides Castrillon</v>
      </c>
      <c r="AR336" s="59" t="s">
        <v>162</v>
      </c>
      <c r="AS336" s="55" t="str">
        <f>IFERROR(_xlfn.XLOOKUP(Tabla1[[#This Row],[Cedula agente]],Lista!$B$2:$B$97,Lista!$F$2:$F$97)," ")</f>
        <v>John Sebastian Roncancio Avendaño</v>
      </c>
      <c r="AT336" s="99">
        <v>0.95</v>
      </c>
      <c r="AU336" s="200">
        <f>+WEEKNUM('Score BD'!$I337)-WEEKNUM(DATE(YEAR('Score BD'!$I337),MONTH('Score BD'!$I337),1))+1</f>
        <v>4</v>
      </c>
    </row>
    <row r="337" spans="1:47" ht="17.45" customHeight="1" x14ac:dyDescent="0.3">
      <c r="A337" s="49" t="str">
        <f t="shared" si="55"/>
        <v>Ministerio de Educación Nacional</v>
      </c>
      <c r="B337" s="50">
        <f>+IFERROR(COUNTIF($J$3:J337,J337)," ")</f>
        <v>25</v>
      </c>
      <c r="C337" s="54" t="str">
        <f>+'Score BD'!$J337&amp;'Score BD'!$B337</f>
        <v>Natalia Cañón Betancourt25</v>
      </c>
      <c r="D337" s="91" t="s">
        <v>148</v>
      </c>
      <c r="E337" s="92" t="s">
        <v>164</v>
      </c>
      <c r="F337" s="92" t="s">
        <v>212</v>
      </c>
      <c r="G337" s="60" t="str">
        <f t="shared" si="56"/>
        <v>Noviembre</v>
      </c>
      <c r="H337" s="67">
        <v>45985</v>
      </c>
      <c r="I337" s="243">
        <v>45982</v>
      </c>
      <c r="J337" s="57" t="s">
        <v>181</v>
      </c>
      <c r="K337" s="54">
        <f>IFERROR(VLOOKUP('Score BD'!$J337,Lista!A:B,2,0)," ")</f>
        <v>1000383417</v>
      </c>
      <c r="L337" s="61" t="s">
        <v>600</v>
      </c>
      <c r="M337" s="59" t="s">
        <v>4</v>
      </c>
      <c r="N337" s="59" t="s">
        <v>4</v>
      </c>
      <c r="O337" s="59" t="s">
        <v>4</v>
      </c>
      <c r="P337" s="59" t="s">
        <v>4</v>
      </c>
      <c r="Q337" s="96">
        <f t="shared" si="57"/>
        <v>1</v>
      </c>
      <c r="R337" s="59" t="s">
        <v>4</v>
      </c>
      <c r="S337" s="59" t="s">
        <v>4</v>
      </c>
      <c r="T337" s="59" t="s">
        <v>4</v>
      </c>
      <c r="U337" s="59" t="s">
        <v>4</v>
      </c>
      <c r="V337" s="45">
        <f t="shared" si="58"/>
        <v>1</v>
      </c>
      <c r="W337" s="59" t="s">
        <v>4</v>
      </c>
      <c r="X337" s="59" t="s">
        <v>4</v>
      </c>
      <c r="Y337" s="59" t="s">
        <v>4</v>
      </c>
      <c r="Z337" s="59" t="s">
        <v>4</v>
      </c>
      <c r="AA337" s="59" t="s">
        <v>4</v>
      </c>
      <c r="AB337" s="59" t="s">
        <v>4</v>
      </c>
      <c r="AC337" s="45">
        <f t="shared" si="59"/>
        <v>1.000000000000002</v>
      </c>
      <c r="AD337" s="43" t="s">
        <v>4</v>
      </c>
      <c r="AE337" s="43" t="s">
        <v>4</v>
      </c>
      <c r="AF337" s="97">
        <f t="shared" si="60"/>
        <v>1</v>
      </c>
      <c r="AG337" s="44">
        <f t="shared" si="61"/>
        <v>1.0000000000000004</v>
      </c>
      <c r="AH337" s="55">
        <f t="shared" si="62"/>
        <v>0</v>
      </c>
      <c r="AI337" s="55">
        <f>COUNTIF('Score BD'!$M337:$P337,"no")</f>
        <v>0</v>
      </c>
      <c r="AJ337" s="55">
        <f t="shared" si="63"/>
        <v>0</v>
      </c>
      <c r="AK337" s="55">
        <f t="shared" si="64"/>
        <v>0</v>
      </c>
      <c r="AL337" s="55">
        <f t="shared" si="65"/>
        <v>0</v>
      </c>
      <c r="AM337" s="157" t="s">
        <v>629</v>
      </c>
      <c r="AN337" s="55"/>
      <c r="AO337" s="61"/>
      <c r="AP337" s="61"/>
      <c r="AQ337" s="59" t="str">
        <f>IFERROR(_xlfn.XLOOKUP(Tabla1[[#This Row],[Cedula agente]],Lista!$B$2:$B$97,Lista!$G$2:$G$97)," ")</f>
        <v>Luisa Fernanda Benavides Castrillon</v>
      </c>
      <c r="AR337" s="59" t="s">
        <v>162</v>
      </c>
      <c r="AS337" s="55" t="str">
        <f>IFERROR(_xlfn.XLOOKUP(Tabla1[[#This Row],[Cedula agente]],Lista!$B$2:$B$97,Lista!$F$2:$F$97)," ")</f>
        <v>John Sebastian Roncancio Avendaño</v>
      </c>
      <c r="AT337" s="99">
        <v>0.95</v>
      </c>
      <c r="AU337" s="200">
        <f>+WEEKNUM('Score BD'!$I338)-WEEKNUM(DATE(YEAR('Score BD'!$I338),MONTH('Score BD'!$I338),1))+1</f>
        <v>4</v>
      </c>
    </row>
    <row r="338" spans="1:47" ht="17.45" customHeight="1" x14ac:dyDescent="0.3">
      <c r="A338" s="49" t="str">
        <f t="shared" si="55"/>
        <v>Ministerio de Educación Nacional</v>
      </c>
      <c r="B338" s="50">
        <f>+IFERROR(COUNTIF($J$3:J338,J338)," ")</f>
        <v>26</v>
      </c>
      <c r="C338" s="54" t="str">
        <f>+'Score BD'!$J338&amp;'Score BD'!$B338</f>
        <v>Natalia Cañón Betancourt26</v>
      </c>
      <c r="D338" s="91" t="s">
        <v>148</v>
      </c>
      <c r="E338" s="92" t="s">
        <v>164</v>
      </c>
      <c r="F338" s="92" t="s">
        <v>212</v>
      </c>
      <c r="G338" s="60" t="str">
        <f t="shared" si="56"/>
        <v>Noviembre</v>
      </c>
      <c r="H338" s="67">
        <v>45985</v>
      </c>
      <c r="I338" s="243">
        <v>45982</v>
      </c>
      <c r="J338" s="57" t="s">
        <v>181</v>
      </c>
      <c r="K338" s="54">
        <f>IFERROR(VLOOKUP('Score BD'!$J338,Lista!A:B,2,0)," ")</f>
        <v>1000383417</v>
      </c>
      <c r="L338" s="61" t="s">
        <v>601</v>
      </c>
      <c r="M338" s="59" t="s">
        <v>4</v>
      </c>
      <c r="N338" s="59" t="s">
        <v>4</v>
      </c>
      <c r="O338" s="59" t="s">
        <v>4</v>
      </c>
      <c r="P338" s="59" t="s">
        <v>4</v>
      </c>
      <c r="Q338" s="96">
        <f t="shared" si="57"/>
        <v>1</v>
      </c>
      <c r="R338" s="59" t="s">
        <v>4</v>
      </c>
      <c r="S338" s="59" t="s">
        <v>4</v>
      </c>
      <c r="T338" s="59" t="s">
        <v>4</v>
      </c>
      <c r="U338" s="59" t="s">
        <v>4</v>
      </c>
      <c r="V338" s="45">
        <f t="shared" si="58"/>
        <v>1</v>
      </c>
      <c r="W338" s="59" t="s">
        <v>4</v>
      </c>
      <c r="X338" s="59" t="s">
        <v>4</v>
      </c>
      <c r="Y338" s="59" t="s">
        <v>4</v>
      </c>
      <c r="Z338" s="59" t="s">
        <v>4</v>
      </c>
      <c r="AA338" s="59" t="s">
        <v>4</v>
      </c>
      <c r="AB338" s="59" t="s">
        <v>4</v>
      </c>
      <c r="AC338" s="45">
        <f t="shared" si="59"/>
        <v>1.000000000000002</v>
      </c>
      <c r="AD338" s="43" t="s">
        <v>4</v>
      </c>
      <c r="AE338" s="43" t="s">
        <v>4</v>
      </c>
      <c r="AF338" s="97">
        <f t="shared" si="60"/>
        <v>1</v>
      </c>
      <c r="AG338" s="44">
        <f t="shared" si="61"/>
        <v>1.0000000000000004</v>
      </c>
      <c r="AH338" s="55">
        <f t="shared" si="62"/>
        <v>0</v>
      </c>
      <c r="AI338" s="55">
        <f>COUNTIF('Score BD'!$M338:$P338,"no")</f>
        <v>0</v>
      </c>
      <c r="AJ338" s="55">
        <f t="shared" si="63"/>
        <v>0</v>
      </c>
      <c r="AK338" s="55">
        <f t="shared" si="64"/>
        <v>0</v>
      </c>
      <c r="AL338" s="55">
        <f t="shared" si="65"/>
        <v>0</v>
      </c>
      <c r="AM338" s="157" t="s">
        <v>629</v>
      </c>
      <c r="AN338" s="55"/>
      <c r="AO338" s="61"/>
      <c r="AP338" s="61"/>
      <c r="AQ338" s="59" t="str">
        <f>IFERROR(_xlfn.XLOOKUP(Tabla1[[#This Row],[Cedula agente]],Lista!$B$2:$B$97,Lista!$G$2:$G$97)," ")</f>
        <v>Luisa Fernanda Benavides Castrillon</v>
      </c>
      <c r="AR338" s="59" t="s">
        <v>162</v>
      </c>
      <c r="AS338" s="55" t="str">
        <f>IFERROR(_xlfn.XLOOKUP(Tabla1[[#This Row],[Cedula agente]],Lista!$B$2:$B$97,Lista!$F$2:$F$97)," ")</f>
        <v>John Sebastian Roncancio Avendaño</v>
      </c>
      <c r="AT338" s="99">
        <v>0.95</v>
      </c>
      <c r="AU338" s="200">
        <f>+WEEKNUM('Score BD'!$I339)-WEEKNUM(DATE(YEAR('Score BD'!$I339),MONTH('Score BD'!$I339),1))+1</f>
        <v>5</v>
      </c>
    </row>
    <row r="339" spans="1:47" ht="17.45" customHeight="1" x14ac:dyDescent="0.3">
      <c r="A339" s="49" t="str">
        <f t="shared" si="55"/>
        <v>Ministerio de Educación Nacional</v>
      </c>
      <c r="B339" s="50">
        <f>+IFERROR(COUNTIF($J$3:J339,J339)," ")</f>
        <v>37</v>
      </c>
      <c r="C339" s="54" t="str">
        <f>+'Score BD'!$J339&amp;'Score BD'!$B339</f>
        <v>Ana Graciela Barbosa Villalobos37</v>
      </c>
      <c r="D339" s="91" t="s">
        <v>148</v>
      </c>
      <c r="E339" s="92" t="s">
        <v>210</v>
      </c>
      <c r="F339" s="92" t="s">
        <v>212</v>
      </c>
      <c r="G339" s="60" t="str">
        <f t="shared" si="56"/>
        <v>Noviembre</v>
      </c>
      <c r="H339" s="67">
        <v>45986</v>
      </c>
      <c r="I339" s="243">
        <v>45985</v>
      </c>
      <c r="J339" s="57" t="s">
        <v>171</v>
      </c>
      <c r="K339" s="54">
        <f>IFERROR(VLOOKUP('Score BD'!$J339,Lista!A:B,2,0)," ")</f>
        <v>1026264261</v>
      </c>
      <c r="L339" s="61" t="s">
        <v>602</v>
      </c>
      <c r="M339" s="59" t="s">
        <v>4</v>
      </c>
      <c r="N339" s="59" t="s">
        <v>4</v>
      </c>
      <c r="O339" s="59" t="s">
        <v>4</v>
      </c>
      <c r="P339" s="59" t="s">
        <v>4</v>
      </c>
      <c r="Q339" s="96">
        <f t="shared" si="57"/>
        <v>1</v>
      </c>
      <c r="R339" s="59" t="s">
        <v>4</v>
      </c>
      <c r="S339" s="59" t="s">
        <v>4</v>
      </c>
      <c r="T339" s="59" t="s">
        <v>4</v>
      </c>
      <c r="U339" s="59" t="s">
        <v>4</v>
      </c>
      <c r="V339" s="45">
        <f t="shared" si="58"/>
        <v>1</v>
      </c>
      <c r="W339" s="59" t="s">
        <v>4</v>
      </c>
      <c r="X339" s="59" t="s">
        <v>4</v>
      </c>
      <c r="Y339" s="59" t="s">
        <v>4</v>
      </c>
      <c r="Z339" s="59" t="s">
        <v>4</v>
      </c>
      <c r="AA339" s="59" t="s">
        <v>4</v>
      </c>
      <c r="AB339" s="59" t="s">
        <v>4</v>
      </c>
      <c r="AC339" s="45">
        <f t="shared" si="59"/>
        <v>1.000000000000002</v>
      </c>
      <c r="AD339" s="43" t="s">
        <v>4</v>
      </c>
      <c r="AE339" s="43" t="s">
        <v>4</v>
      </c>
      <c r="AF339" s="97">
        <f t="shared" si="60"/>
        <v>1</v>
      </c>
      <c r="AG339" s="44">
        <f t="shared" si="61"/>
        <v>1.0000000000000004</v>
      </c>
      <c r="AH339" s="55">
        <f t="shared" si="62"/>
        <v>0</v>
      </c>
      <c r="AI339" s="55">
        <f>COUNTIF('Score BD'!$M339:$P339,"no")</f>
        <v>0</v>
      </c>
      <c r="AJ339" s="55">
        <f t="shared" si="63"/>
        <v>0</v>
      </c>
      <c r="AK339" s="55">
        <f t="shared" si="64"/>
        <v>0</v>
      </c>
      <c r="AL339" s="55">
        <f t="shared" si="65"/>
        <v>0</v>
      </c>
      <c r="AM339" s="157" t="s">
        <v>630</v>
      </c>
      <c r="AN339" s="55"/>
      <c r="AO339" s="61"/>
      <c r="AP339" s="61"/>
      <c r="AQ339" s="59" t="str">
        <f>IFERROR(_xlfn.XLOOKUP(Tabla1[[#This Row],[Cedula agente]],Lista!$B$2:$B$97,Lista!$G$2:$G$97)," ")</f>
        <v>Luisa Fernanda Benavides Castrillon</v>
      </c>
      <c r="AR339" s="59" t="s">
        <v>162</v>
      </c>
      <c r="AS339" s="55" t="str">
        <f>IFERROR(_xlfn.XLOOKUP(Tabla1[[#This Row],[Cedula agente]],Lista!$B$2:$B$97,Lista!$F$2:$F$97)," ")</f>
        <v>John Sebastian Roncancio Avendaño</v>
      </c>
      <c r="AT339" s="99">
        <v>0.95</v>
      </c>
      <c r="AU339" s="200">
        <f>+WEEKNUM('Score BD'!$I340)-WEEKNUM(DATE(YEAR('Score BD'!$I340),MONTH('Score BD'!$I340),1))+1</f>
        <v>5</v>
      </c>
    </row>
    <row r="340" spans="1:47" ht="17.45" customHeight="1" x14ac:dyDescent="0.3">
      <c r="A340" s="49" t="str">
        <f t="shared" si="55"/>
        <v>Ministerio de Educación Nacional</v>
      </c>
      <c r="B340" s="50">
        <f>+IFERROR(COUNTIF($J$3:J340,J340)," ")</f>
        <v>38</v>
      </c>
      <c r="C340" s="54" t="str">
        <f>+'Score BD'!$J340&amp;'Score BD'!$B340</f>
        <v>Ana Graciela Barbosa Villalobos38</v>
      </c>
      <c r="D340" s="91" t="s">
        <v>148</v>
      </c>
      <c r="E340" s="92" t="s">
        <v>210</v>
      </c>
      <c r="F340" s="92" t="s">
        <v>212</v>
      </c>
      <c r="G340" s="60" t="str">
        <f t="shared" si="56"/>
        <v>Noviembre</v>
      </c>
      <c r="H340" s="67">
        <v>45986</v>
      </c>
      <c r="I340" s="243">
        <v>45985</v>
      </c>
      <c r="J340" s="57" t="s">
        <v>171</v>
      </c>
      <c r="K340" s="54">
        <f>IFERROR(VLOOKUP('Score BD'!$J340,Lista!A:B,2,0)," ")</f>
        <v>1026264261</v>
      </c>
      <c r="L340" s="61" t="s">
        <v>603</v>
      </c>
      <c r="M340" s="59" t="s">
        <v>4</v>
      </c>
      <c r="N340" s="59" t="s">
        <v>4</v>
      </c>
      <c r="O340" s="59" t="s">
        <v>4</v>
      </c>
      <c r="P340" s="59" t="s">
        <v>4</v>
      </c>
      <c r="Q340" s="96">
        <f t="shared" si="57"/>
        <v>1</v>
      </c>
      <c r="R340" s="59" t="s">
        <v>4</v>
      </c>
      <c r="S340" s="59" t="s">
        <v>4</v>
      </c>
      <c r="T340" s="59" t="s">
        <v>4</v>
      </c>
      <c r="U340" s="59" t="s">
        <v>4</v>
      </c>
      <c r="V340" s="45">
        <f t="shared" si="58"/>
        <v>1</v>
      </c>
      <c r="W340" s="59" t="s">
        <v>4</v>
      </c>
      <c r="X340" s="59" t="s">
        <v>4</v>
      </c>
      <c r="Y340" s="59" t="s">
        <v>4</v>
      </c>
      <c r="Z340" s="59" t="s">
        <v>4</v>
      </c>
      <c r="AA340" s="59" t="s">
        <v>4</v>
      </c>
      <c r="AB340" s="59" t="s">
        <v>4</v>
      </c>
      <c r="AC340" s="45">
        <f t="shared" si="59"/>
        <v>1.000000000000002</v>
      </c>
      <c r="AD340" s="43" t="s">
        <v>4</v>
      </c>
      <c r="AE340" s="43" t="s">
        <v>4</v>
      </c>
      <c r="AF340" s="97">
        <f t="shared" si="60"/>
        <v>1</v>
      </c>
      <c r="AG340" s="44">
        <f t="shared" si="61"/>
        <v>1.0000000000000004</v>
      </c>
      <c r="AH340" s="55">
        <f t="shared" si="62"/>
        <v>0</v>
      </c>
      <c r="AI340" s="55">
        <f>COUNTIF('Score BD'!$M340:$P340,"no")</f>
        <v>0</v>
      </c>
      <c r="AJ340" s="55">
        <f t="shared" si="63"/>
        <v>0</v>
      </c>
      <c r="AK340" s="55">
        <f t="shared" si="64"/>
        <v>0</v>
      </c>
      <c r="AL340" s="55">
        <f t="shared" si="65"/>
        <v>0</v>
      </c>
      <c r="AM340" s="157" t="s">
        <v>630</v>
      </c>
      <c r="AN340" s="55"/>
      <c r="AO340" s="61"/>
      <c r="AP340" s="61"/>
      <c r="AQ340" s="59" t="str">
        <f>IFERROR(_xlfn.XLOOKUP(Tabla1[[#This Row],[Cedula agente]],Lista!$B$2:$B$97,Lista!$G$2:$G$97)," ")</f>
        <v>Luisa Fernanda Benavides Castrillon</v>
      </c>
      <c r="AR340" s="59" t="s">
        <v>162</v>
      </c>
      <c r="AS340" s="55" t="str">
        <f>IFERROR(_xlfn.XLOOKUP(Tabla1[[#This Row],[Cedula agente]],Lista!$B$2:$B$97,Lista!$F$2:$F$97)," ")</f>
        <v>John Sebastian Roncancio Avendaño</v>
      </c>
      <c r="AT340" s="99">
        <v>0.95</v>
      </c>
      <c r="AU340" s="200">
        <f>+WEEKNUM('Score BD'!$I341)-WEEKNUM(DATE(YEAR('Score BD'!$I341),MONTH('Score BD'!$I341),1))+1</f>
        <v>5</v>
      </c>
    </row>
    <row r="341" spans="1:47" ht="17.45" customHeight="1" x14ac:dyDescent="0.3">
      <c r="A341" s="49" t="str">
        <f t="shared" si="55"/>
        <v>Ministerio de Educación Nacional</v>
      </c>
      <c r="B341" s="50">
        <f>+IFERROR(COUNTIF($J$3:J341,J341)," ")</f>
        <v>39</v>
      </c>
      <c r="C341" s="54" t="str">
        <f>+'Score BD'!$J341&amp;'Score BD'!$B341</f>
        <v>Ana Graciela Barbosa Villalobos39</v>
      </c>
      <c r="D341" s="91" t="s">
        <v>148</v>
      </c>
      <c r="E341" s="92" t="s">
        <v>210</v>
      </c>
      <c r="F341" s="92" t="s">
        <v>212</v>
      </c>
      <c r="G341" s="60" t="str">
        <f t="shared" si="56"/>
        <v>Noviembre</v>
      </c>
      <c r="H341" s="67">
        <v>45986</v>
      </c>
      <c r="I341" s="243">
        <v>45985</v>
      </c>
      <c r="J341" s="57" t="s">
        <v>171</v>
      </c>
      <c r="K341" s="54">
        <f>IFERROR(VLOOKUP('Score BD'!$J341,Lista!A:B,2,0)," ")</f>
        <v>1026264261</v>
      </c>
      <c r="L341" s="61" t="s">
        <v>604</v>
      </c>
      <c r="M341" s="59" t="s">
        <v>4</v>
      </c>
      <c r="N341" s="59" t="s">
        <v>4</v>
      </c>
      <c r="O341" s="59" t="s">
        <v>4</v>
      </c>
      <c r="P341" s="59" t="s">
        <v>4</v>
      </c>
      <c r="Q341" s="96">
        <f t="shared" si="57"/>
        <v>1</v>
      </c>
      <c r="R341" s="59" t="s">
        <v>4</v>
      </c>
      <c r="S341" s="59" t="s">
        <v>4</v>
      </c>
      <c r="T341" s="59" t="s">
        <v>4</v>
      </c>
      <c r="U341" s="59" t="s">
        <v>4</v>
      </c>
      <c r="V341" s="45">
        <f t="shared" si="58"/>
        <v>1</v>
      </c>
      <c r="W341" s="59" t="s">
        <v>4</v>
      </c>
      <c r="X341" s="59" t="s">
        <v>4</v>
      </c>
      <c r="Y341" s="59" t="s">
        <v>4</v>
      </c>
      <c r="Z341" s="59" t="s">
        <v>4</v>
      </c>
      <c r="AA341" s="59" t="s">
        <v>4</v>
      </c>
      <c r="AB341" s="59" t="s">
        <v>4</v>
      </c>
      <c r="AC341" s="45">
        <f t="shared" si="59"/>
        <v>1.000000000000002</v>
      </c>
      <c r="AD341" s="43" t="s">
        <v>4</v>
      </c>
      <c r="AE341" s="43" t="s">
        <v>4</v>
      </c>
      <c r="AF341" s="97">
        <f t="shared" si="60"/>
        <v>1</v>
      </c>
      <c r="AG341" s="44">
        <f t="shared" si="61"/>
        <v>1.0000000000000004</v>
      </c>
      <c r="AH341" s="55">
        <f t="shared" si="62"/>
        <v>0</v>
      </c>
      <c r="AI341" s="55">
        <f>COUNTIF('Score BD'!$M341:$P341,"no")</f>
        <v>0</v>
      </c>
      <c r="AJ341" s="55">
        <f t="shared" si="63"/>
        <v>0</v>
      </c>
      <c r="AK341" s="55">
        <f t="shared" si="64"/>
        <v>0</v>
      </c>
      <c r="AL341" s="55">
        <f t="shared" si="65"/>
        <v>0</v>
      </c>
      <c r="AM341" s="157" t="s">
        <v>630</v>
      </c>
      <c r="AN341" s="55"/>
      <c r="AO341" s="61"/>
      <c r="AP341" s="61"/>
      <c r="AQ341" s="59" t="str">
        <f>IFERROR(_xlfn.XLOOKUP(Tabla1[[#This Row],[Cedula agente]],Lista!$B$2:$B$97,Lista!$G$2:$G$97)," ")</f>
        <v>Luisa Fernanda Benavides Castrillon</v>
      </c>
      <c r="AR341" s="59" t="s">
        <v>162</v>
      </c>
      <c r="AS341" s="55" t="str">
        <f>IFERROR(_xlfn.XLOOKUP(Tabla1[[#This Row],[Cedula agente]],Lista!$B$2:$B$97,Lista!$F$2:$F$97)," ")</f>
        <v>John Sebastian Roncancio Avendaño</v>
      </c>
      <c r="AT341" s="99">
        <v>0.95</v>
      </c>
      <c r="AU341" s="200">
        <f>+WEEKNUM('Score BD'!$I342)-WEEKNUM(DATE(YEAR('Score BD'!$I342),MONTH('Score BD'!$I342),1))+1</f>
        <v>5</v>
      </c>
    </row>
    <row r="342" spans="1:47" ht="17.45" customHeight="1" x14ac:dyDescent="0.3">
      <c r="A342" s="49" t="str">
        <f t="shared" si="55"/>
        <v>Ministerio de Educación Nacional</v>
      </c>
      <c r="B342" s="50">
        <f>+IFERROR(COUNTIF($J$3:J342,J342)," ")</f>
        <v>11</v>
      </c>
      <c r="C342" s="54" t="str">
        <f>+'Score BD'!$J342&amp;'Score BD'!$B342</f>
        <v>Andrés Felipe Silva Martínez11</v>
      </c>
      <c r="D342" s="91" t="s">
        <v>148</v>
      </c>
      <c r="E342" s="92" t="s">
        <v>208</v>
      </c>
      <c r="F342" s="92" t="s">
        <v>212</v>
      </c>
      <c r="G342" s="60" t="str">
        <f t="shared" si="56"/>
        <v>Noviembre</v>
      </c>
      <c r="H342" s="67">
        <v>45986</v>
      </c>
      <c r="I342" s="243">
        <v>45985</v>
      </c>
      <c r="J342" s="57" t="s">
        <v>228</v>
      </c>
      <c r="K342" s="54">
        <f>IFERROR(VLOOKUP('Score BD'!$J342,Lista!A:B,2,0)," ")</f>
        <v>1120362660</v>
      </c>
      <c r="L342" s="61" t="s">
        <v>605</v>
      </c>
      <c r="M342" s="59" t="s">
        <v>4</v>
      </c>
      <c r="N342" s="59" t="s">
        <v>4</v>
      </c>
      <c r="O342" s="59" t="s">
        <v>4</v>
      </c>
      <c r="P342" s="59" t="s">
        <v>4</v>
      </c>
      <c r="Q342" s="96">
        <f t="shared" si="57"/>
        <v>1</v>
      </c>
      <c r="R342" s="59" t="s">
        <v>4</v>
      </c>
      <c r="S342" s="59" t="s">
        <v>4</v>
      </c>
      <c r="T342" s="59" t="s">
        <v>4</v>
      </c>
      <c r="U342" s="59" t="s">
        <v>4</v>
      </c>
      <c r="V342" s="45">
        <f t="shared" si="58"/>
        <v>1</v>
      </c>
      <c r="W342" s="59" t="s">
        <v>4</v>
      </c>
      <c r="X342" s="59" t="s">
        <v>4</v>
      </c>
      <c r="Y342" s="59" t="s">
        <v>4</v>
      </c>
      <c r="Z342" s="59" t="s">
        <v>4</v>
      </c>
      <c r="AA342" s="59" t="s">
        <v>4</v>
      </c>
      <c r="AB342" s="59" t="s">
        <v>4</v>
      </c>
      <c r="AC342" s="45">
        <f t="shared" si="59"/>
        <v>1.000000000000002</v>
      </c>
      <c r="AD342" s="43" t="s">
        <v>4</v>
      </c>
      <c r="AE342" s="43" t="s">
        <v>4</v>
      </c>
      <c r="AF342" s="97">
        <f t="shared" si="60"/>
        <v>1</v>
      </c>
      <c r="AG342" s="44">
        <f t="shared" si="61"/>
        <v>1.0000000000000004</v>
      </c>
      <c r="AH342" s="55">
        <f t="shared" si="62"/>
        <v>0</v>
      </c>
      <c r="AI342" s="55">
        <f>COUNTIF('Score BD'!$M342:$P342,"no")</f>
        <v>0</v>
      </c>
      <c r="AJ342" s="55">
        <f t="shared" si="63"/>
        <v>0</v>
      </c>
      <c r="AK342" s="55">
        <f t="shared" si="64"/>
        <v>0</v>
      </c>
      <c r="AL342" s="55">
        <f t="shared" si="65"/>
        <v>0</v>
      </c>
      <c r="AM342" s="157" t="s">
        <v>630</v>
      </c>
      <c r="AN342" s="55"/>
      <c r="AO342" s="61"/>
      <c r="AP342" s="61"/>
      <c r="AQ342" s="59" t="str">
        <f>IFERROR(_xlfn.XLOOKUP(Tabla1[[#This Row],[Cedula agente]],Lista!$B$2:$B$97,Lista!$G$2:$G$97)," ")</f>
        <v>Luisa Fernanda Benavides Castrillon</v>
      </c>
      <c r="AR342" s="59" t="s">
        <v>162</v>
      </c>
      <c r="AS342" s="55" t="str">
        <f>IFERROR(_xlfn.XLOOKUP(Tabla1[[#This Row],[Cedula agente]],Lista!$B$2:$B$97,Lista!$F$2:$F$97)," ")</f>
        <v>John Sebastian Roncancio Avendaño</v>
      </c>
      <c r="AT342" s="99">
        <v>0.95</v>
      </c>
      <c r="AU342" s="200">
        <f>+WEEKNUM('Score BD'!$I343)-WEEKNUM(DATE(YEAR('Score BD'!$I343),MONTH('Score BD'!$I343),1))+1</f>
        <v>5</v>
      </c>
    </row>
    <row r="343" spans="1:47" ht="17.45" customHeight="1" x14ac:dyDescent="0.3">
      <c r="A343" s="49" t="str">
        <f t="shared" si="55"/>
        <v>Ministerio de Educación Nacional</v>
      </c>
      <c r="B343" s="50">
        <f>+IFERROR(COUNTIF($J$3:J343,J343)," ")</f>
        <v>13</v>
      </c>
      <c r="C343" s="54" t="str">
        <f>+'Score BD'!$J343&amp;'Score BD'!$B343</f>
        <v>Cristian Enrique Benitez Rodriguez13</v>
      </c>
      <c r="D343" s="91" t="s">
        <v>148</v>
      </c>
      <c r="E343" s="92" t="s">
        <v>165</v>
      </c>
      <c r="F343" s="92" t="s">
        <v>212</v>
      </c>
      <c r="G343" s="60" t="str">
        <f t="shared" si="56"/>
        <v>Noviembre</v>
      </c>
      <c r="H343" s="67">
        <v>45986</v>
      </c>
      <c r="I343" s="243">
        <v>45985</v>
      </c>
      <c r="J343" s="57" t="s">
        <v>173</v>
      </c>
      <c r="K343" s="54">
        <f>IFERROR(VLOOKUP('Score BD'!$J343,Lista!A:B,2,0)," ")</f>
        <v>1026574814</v>
      </c>
      <c r="L343" s="61" t="s">
        <v>606</v>
      </c>
      <c r="M343" s="59" t="s">
        <v>4</v>
      </c>
      <c r="N343" s="59" t="s">
        <v>4</v>
      </c>
      <c r="O343" s="59" t="s">
        <v>4</v>
      </c>
      <c r="P343" s="59" t="s">
        <v>4</v>
      </c>
      <c r="Q343" s="96">
        <f t="shared" si="57"/>
        <v>1</v>
      </c>
      <c r="R343" s="59" t="s">
        <v>4</v>
      </c>
      <c r="S343" s="59" t="s">
        <v>4</v>
      </c>
      <c r="T343" s="59" t="s">
        <v>4</v>
      </c>
      <c r="U343" s="59" t="s">
        <v>4</v>
      </c>
      <c r="V343" s="45">
        <f t="shared" si="58"/>
        <v>1</v>
      </c>
      <c r="W343" s="59" t="s">
        <v>4</v>
      </c>
      <c r="X343" s="59" t="s">
        <v>4</v>
      </c>
      <c r="Y343" s="59" t="s">
        <v>4</v>
      </c>
      <c r="Z343" s="59" t="s">
        <v>4</v>
      </c>
      <c r="AA343" s="59" t="s">
        <v>4</v>
      </c>
      <c r="AB343" s="59" t="s">
        <v>4</v>
      </c>
      <c r="AC343" s="45">
        <f t="shared" si="59"/>
        <v>1.000000000000002</v>
      </c>
      <c r="AD343" s="43" t="s">
        <v>4</v>
      </c>
      <c r="AE343" s="43" t="s">
        <v>4</v>
      </c>
      <c r="AF343" s="97">
        <f t="shared" si="60"/>
        <v>1</v>
      </c>
      <c r="AG343" s="44">
        <f t="shared" si="61"/>
        <v>1.0000000000000004</v>
      </c>
      <c r="AH343" s="55">
        <f t="shared" si="62"/>
        <v>0</v>
      </c>
      <c r="AI343" s="55">
        <f>COUNTIF('Score BD'!$M343:$P343,"no")</f>
        <v>0</v>
      </c>
      <c r="AJ343" s="55">
        <f t="shared" si="63"/>
        <v>0</v>
      </c>
      <c r="AK343" s="55">
        <f t="shared" si="64"/>
        <v>0</v>
      </c>
      <c r="AL343" s="55">
        <f t="shared" si="65"/>
        <v>0</v>
      </c>
      <c r="AM343" s="157" t="s">
        <v>630</v>
      </c>
      <c r="AN343" s="55"/>
      <c r="AO343" s="61"/>
      <c r="AP343" s="61"/>
      <c r="AQ343" s="59" t="str">
        <f>IFERROR(_xlfn.XLOOKUP(Tabla1[[#This Row],[Cedula agente]],Lista!$B$2:$B$97,Lista!$G$2:$G$97)," ")</f>
        <v>Luisa Fernanda Benavides Castrillon</v>
      </c>
      <c r="AR343" s="59" t="s">
        <v>162</v>
      </c>
      <c r="AS343" s="55" t="str">
        <f>IFERROR(_xlfn.XLOOKUP(Tabla1[[#This Row],[Cedula agente]],Lista!$B$2:$B$97,Lista!$F$2:$F$97)," ")</f>
        <v>John Sebastian Roncancio Avendaño</v>
      </c>
      <c r="AT343" s="99">
        <v>0.95</v>
      </c>
      <c r="AU343" s="200">
        <f>+WEEKNUM('Score BD'!$I344)-WEEKNUM(DATE(YEAR('Score BD'!$I344),MONTH('Score BD'!$I344),1))+1</f>
        <v>5</v>
      </c>
    </row>
    <row r="344" spans="1:47" ht="17.45" customHeight="1" x14ac:dyDescent="0.3">
      <c r="A344" s="49" t="str">
        <f t="shared" si="55"/>
        <v>Ministerio de Educación Nacional</v>
      </c>
      <c r="B344" s="50">
        <f>+IFERROR(COUNTIF($J$3:J344,J344)," ")</f>
        <v>36</v>
      </c>
      <c r="C344" s="54" t="str">
        <f>+'Score BD'!$J344&amp;'Score BD'!$B344</f>
        <v>Erika Natalia Ramírez Herrera36</v>
      </c>
      <c r="D344" s="91" t="s">
        <v>148</v>
      </c>
      <c r="E344" s="92" t="s">
        <v>164</v>
      </c>
      <c r="F344" s="92" t="s">
        <v>212</v>
      </c>
      <c r="G344" s="60" t="str">
        <f t="shared" si="56"/>
        <v>Noviembre</v>
      </c>
      <c r="H344" s="67">
        <v>45986</v>
      </c>
      <c r="I344" s="243">
        <v>45985</v>
      </c>
      <c r="J344" s="57" t="s">
        <v>174</v>
      </c>
      <c r="K344" s="54">
        <f>IFERROR(VLOOKUP('Score BD'!$J344,Lista!A:B,2,0)," ")</f>
        <v>1032367072</v>
      </c>
      <c r="L344" s="61" t="s">
        <v>607</v>
      </c>
      <c r="M344" s="59" t="s">
        <v>4</v>
      </c>
      <c r="N344" s="59" t="s">
        <v>4</v>
      </c>
      <c r="O344" s="59" t="s">
        <v>4</v>
      </c>
      <c r="P344" s="59" t="s">
        <v>4</v>
      </c>
      <c r="Q344" s="96">
        <f t="shared" si="57"/>
        <v>1</v>
      </c>
      <c r="R344" s="59" t="s">
        <v>4</v>
      </c>
      <c r="S344" s="59" t="s">
        <v>4</v>
      </c>
      <c r="T344" s="59" t="s">
        <v>4</v>
      </c>
      <c r="U344" s="59" t="s">
        <v>4</v>
      </c>
      <c r="V344" s="45">
        <f t="shared" si="58"/>
        <v>1</v>
      </c>
      <c r="W344" s="59" t="s">
        <v>4</v>
      </c>
      <c r="X344" s="59" t="s">
        <v>4</v>
      </c>
      <c r="Y344" s="59" t="s">
        <v>4</v>
      </c>
      <c r="Z344" s="59" t="s">
        <v>4</v>
      </c>
      <c r="AA344" s="59" t="s">
        <v>4</v>
      </c>
      <c r="AB344" s="59" t="s">
        <v>4</v>
      </c>
      <c r="AC344" s="45">
        <f t="shared" si="59"/>
        <v>1.000000000000002</v>
      </c>
      <c r="AD344" s="43" t="s">
        <v>4</v>
      </c>
      <c r="AE344" s="43" t="s">
        <v>4</v>
      </c>
      <c r="AF344" s="97">
        <f t="shared" si="60"/>
        <v>1</v>
      </c>
      <c r="AG344" s="44">
        <f t="shared" si="61"/>
        <v>1.0000000000000004</v>
      </c>
      <c r="AH344" s="55">
        <f t="shared" si="62"/>
        <v>0</v>
      </c>
      <c r="AI344" s="55">
        <f>COUNTIF('Score BD'!$M344:$P344,"no")</f>
        <v>0</v>
      </c>
      <c r="AJ344" s="55">
        <f t="shared" si="63"/>
        <v>0</v>
      </c>
      <c r="AK344" s="55">
        <f t="shared" si="64"/>
        <v>0</v>
      </c>
      <c r="AL344" s="55">
        <f t="shared" si="65"/>
        <v>0</v>
      </c>
      <c r="AM344" s="157" t="s">
        <v>630</v>
      </c>
      <c r="AN344" s="55"/>
      <c r="AO344" s="61"/>
      <c r="AP344" s="61"/>
      <c r="AQ344" s="59" t="str">
        <f>IFERROR(_xlfn.XLOOKUP(Tabla1[[#This Row],[Cedula agente]],Lista!$B$2:$B$97,Lista!$G$2:$G$97)," ")</f>
        <v>Luisa Fernanda Benavides Castrillon</v>
      </c>
      <c r="AR344" s="59" t="s">
        <v>162</v>
      </c>
      <c r="AS344" s="55" t="str">
        <f>IFERROR(_xlfn.XLOOKUP(Tabla1[[#This Row],[Cedula agente]],Lista!$B$2:$B$97,Lista!$F$2:$F$97)," ")</f>
        <v>John Sebastian Roncancio Avendaño</v>
      </c>
      <c r="AT344" s="99">
        <v>0.95</v>
      </c>
      <c r="AU344" s="200">
        <f>+WEEKNUM('Score BD'!$I345)-WEEKNUM(DATE(YEAR('Score BD'!$I345),MONTH('Score BD'!$I345),1))+1</f>
        <v>5</v>
      </c>
    </row>
    <row r="345" spans="1:47" ht="17.45" customHeight="1" x14ac:dyDescent="0.3">
      <c r="A345" s="49" t="str">
        <f t="shared" si="55"/>
        <v>Ministerio de Educación Nacional</v>
      </c>
      <c r="B345" s="50">
        <f>+IFERROR(COUNTIF($J$3:J345,J345)," ")</f>
        <v>37</v>
      </c>
      <c r="C345" s="54" t="str">
        <f>+'Score BD'!$J345&amp;'Score BD'!$B345</f>
        <v>Erika Natalia Ramírez Herrera37</v>
      </c>
      <c r="D345" s="91" t="s">
        <v>148</v>
      </c>
      <c r="E345" s="92" t="s">
        <v>164</v>
      </c>
      <c r="F345" s="92" t="s">
        <v>212</v>
      </c>
      <c r="G345" s="60" t="str">
        <f t="shared" si="56"/>
        <v>Noviembre</v>
      </c>
      <c r="H345" s="67">
        <v>45986</v>
      </c>
      <c r="I345" s="243">
        <v>45985</v>
      </c>
      <c r="J345" s="57" t="s">
        <v>174</v>
      </c>
      <c r="K345" s="54">
        <f>IFERROR(VLOOKUP('Score BD'!$J345,Lista!A:B,2,0)," ")</f>
        <v>1032367072</v>
      </c>
      <c r="L345" s="61" t="s">
        <v>608</v>
      </c>
      <c r="M345" s="59" t="s">
        <v>4</v>
      </c>
      <c r="N345" s="59" t="s">
        <v>4</v>
      </c>
      <c r="O345" s="59" t="s">
        <v>4</v>
      </c>
      <c r="P345" s="59" t="s">
        <v>4</v>
      </c>
      <c r="Q345" s="96">
        <f t="shared" si="57"/>
        <v>1</v>
      </c>
      <c r="R345" s="59" t="s">
        <v>4</v>
      </c>
      <c r="S345" s="59" t="s">
        <v>4</v>
      </c>
      <c r="T345" s="59" t="s">
        <v>4</v>
      </c>
      <c r="U345" s="59" t="s">
        <v>4</v>
      </c>
      <c r="V345" s="45">
        <f t="shared" si="58"/>
        <v>1</v>
      </c>
      <c r="W345" s="59" t="s">
        <v>4</v>
      </c>
      <c r="X345" s="59" t="s">
        <v>4</v>
      </c>
      <c r="Y345" s="59" t="s">
        <v>4</v>
      </c>
      <c r="Z345" s="59" t="s">
        <v>4</v>
      </c>
      <c r="AA345" s="59" t="s">
        <v>4</v>
      </c>
      <c r="AB345" s="59" t="s">
        <v>4</v>
      </c>
      <c r="AC345" s="45">
        <f t="shared" si="59"/>
        <v>1.000000000000002</v>
      </c>
      <c r="AD345" s="43" t="s">
        <v>4</v>
      </c>
      <c r="AE345" s="43" t="s">
        <v>4</v>
      </c>
      <c r="AF345" s="97">
        <f t="shared" si="60"/>
        <v>1</v>
      </c>
      <c r="AG345" s="44">
        <f t="shared" si="61"/>
        <v>1.0000000000000004</v>
      </c>
      <c r="AH345" s="55">
        <f t="shared" si="62"/>
        <v>0</v>
      </c>
      <c r="AI345" s="55">
        <f>COUNTIF('Score BD'!$M345:$P345,"no")</f>
        <v>0</v>
      </c>
      <c r="AJ345" s="55">
        <f t="shared" si="63"/>
        <v>0</v>
      </c>
      <c r="AK345" s="55">
        <f t="shared" si="64"/>
        <v>0</v>
      </c>
      <c r="AL345" s="55">
        <f t="shared" si="65"/>
        <v>0</v>
      </c>
      <c r="AM345" s="157" t="s">
        <v>630</v>
      </c>
      <c r="AN345" s="55"/>
      <c r="AO345" s="61"/>
      <c r="AP345" s="61"/>
      <c r="AQ345" s="59" t="str">
        <f>IFERROR(_xlfn.XLOOKUP(Tabla1[[#This Row],[Cedula agente]],Lista!$B$2:$B$97,Lista!$G$2:$G$97)," ")</f>
        <v>Luisa Fernanda Benavides Castrillon</v>
      </c>
      <c r="AR345" s="59" t="s">
        <v>162</v>
      </c>
      <c r="AS345" s="55" t="str">
        <f>IFERROR(_xlfn.XLOOKUP(Tabla1[[#This Row],[Cedula agente]],Lista!$B$2:$B$97,Lista!$F$2:$F$97)," ")</f>
        <v>John Sebastian Roncancio Avendaño</v>
      </c>
      <c r="AT345" s="99">
        <v>0.95</v>
      </c>
      <c r="AU345" s="200">
        <f>+WEEKNUM('Score BD'!$I346)-WEEKNUM(DATE(YEAR('Score BD'!$I346),MONTH('Score BD'!$I346),1))+1</f>
        <v>5</v>
      </c>
    </row>
    <row r="346" spans="1:47" ht="17.45" customHeight="1" x14ac:dyDescent="0.3">
      <c r="A346" s="49" t="str">
        <f t="shared" si="55"/>
        <v>Ministerio de Educación Nacional</v>
      </c>
      <c r="B346" s="50">
        <f>+IFERROR(COUNTIF($J$3:J346,J346)," ")</f>
        <v>12</v>
      </c>
      <c r="C346" s="54" t="str">
        <f>+'Score BD'!$J346&amp;'Score BD'!$B346</f>
        <v>Henry Eduardo Padilla Castilla12</v>
      </c>
      <c r="D346" s="91" t="s">
        <v>148</v>
      </c>
      <c r="E346" s="92" t="s">
        <v>165</v>
      </c>
      <c r="F346" s="92" t="s">
        <v>212</v>
      </c>
      <c r="G346" s="60" t="str">
        <f t="shared" si="56"/>
        <v>Noviembre</v>
      </c>
      <c r="H346" s="67">
        <v>45986</v>
      </c>
      <c r="I346" s="243">
        <v>45985</v>
      </c>
      <c r="J346" s="57" t="s">
        <v>175</v>
      </c>
      <c r="K346" s="54">
        <f>IFERROR(VLOOKUP('Score BD'!$J346,Lista!A:B,2,0)," ")</f>
        <v>1063968280</v>
      </c>
      <c r="L346" s="61" t="s">
        <v>609</v>
      </c>
      <c r="M346" s="59" t="s">
        <v>4</v>
      </c>
      <c r="N346" s="59" t="s">
        <v>4</v>
      </c>
      <c r="O346" s="59" t="s">
        <v>4</v>
      </c>
      <c r="P346" s="59" t="s">
        <v>4</v>
      </c>
      <c r="Q346" s="96">
        <f t="shared" si="57"/>
        <v>1</v>
      </c>
      <c r="R346" s="59" t="s">
        <v>4</v>
      </c>
      <c r="S346" s="59" t="s">
        <v>4</v>
      </c>
      <c r="T346" s="59" t="s">
        <v>4</v>
      </c>
      <c r="U346" s="59" t="s">
        <v>4</v>
      </c>
      <c r="V346" s="45">
        <f t="shared" si="58"/>
        <v>1</v>
      </c>
      <c r="W346" s="59" t="s">
        <v>4</v>
      </c>
      <c r="X346" s="59" t="s">
        <v>4</v>
      </c>
      <c r="Y346" s="59" t="s">
        <v>4</v>
      </c>
      <c r="Z346" s="59" t="s">
        <v>4</v>
      </c>
      <c r="AA346" s="59" t="s">
        <v>4</v>
      </c>
      <c r="AB346" s="59" t="s">
        <v>4</v>
      </c>
      <c r="AC346" s="45">
        <f t="shared" si="59"/>
        <v>1.000000000000002</v>
      </c>
      <c r="AD346" s="43" t="s">
        <v>4</v>
      </c>
      <c r="AE346" s="43" t="s">
        <v>4</v>
      </c>
      <c r="AF346" s="97">
        <f t="shared" si="60"/>
        <v>1</v>
      </c>
      <c r="AG346" s="44">
        <f t="shared" si="61"/>
        <v>1.0000000000000004</v>
      </c>
      <c r="AH346" s="55">
        <f t="shared" si="62"/>
        <v>0</v>
      </c>
      <c r="AI346" s="55">
        <f>COUNTIF('Score BD'!$M346:$P346,"no")</f>
        <v>0</v>
      </c>
      <c r="AJ346" s="55">
        <f t="shared" si="63"/>
        <v>0</v>
      </c>
      <c r="AK346" s="55">
        <f t="shared" si="64"/>
        <v>0</v>
      </c>
      <c r="AL346" s="55">
        <f t="shared" si="65"/>
        <v>0</v>
      </c>
      <c r="AM346" s="157" t="s">
        <v>630</v>
      </c>
      <c r="AN346" s="55"/>
      <c r="AO346" s="61"/>
      <c r="AP346" s="61"/>
      <c r="AQ346" s="59" t="str">
        <f>IFERROR(_xlfn.XLOOKUP(Tabla1[[#This Row],[Cedula agente]],Lista!$B$2:$B$97,Lista!$G$2:$G$97)," ")</f>
        <v>Luisa Fernanda Benavides Castrillon</v>
      </c>
      <c r="AR346" s="59" t="s">
        <v>162</v>
      </c>
      <c r="AS346" s="55" t="str">
        <f>IFERROR(_xlfn.XLOOKUP(Tabla1[[#This Row],[Cedula agente]],Lista!$B$2:$B$97,Lista!$F$2:$F$97)," ")</f>
        <v>John Sebastian Roncancio Avendaño</v>
      </c>
      <c r="AT346" s="99">
        <v>0.95</v>
      </c>
      <c r="AU346" s="200">
        <f>+WEEKNUM('Score BD'!$I347)-WEEKNUM(DATE(YEAR('Score BD'!$I347),MONTH('Score BD'!$I347),1))+1</f>
        <v>5</v>
      </c>
    </row>
    <row r="347" spans="1:47" ht="17.45" customHeight="1" x14ac:dyDescent="0.3">
      <c r="A347" s="49" t="str">
        <f t="shared" si="55"/>
        <v>Ministerio de Educación Nacional</v>
      </c>
      <c r="B347" s="50">
        <f>+IFERROR(COUNTIF($J$3:J347,J347)," ")</f>
        <v>28</v>
      </c>
      <c r="C347" s="54" t="str">
        <f>+'Score BD'!$J347&amp;'Score BD'!$B347</f>
        <v>Ingrid Carolina Monsalve Quintero28</v>
      </c>
      <c r="D347" s="91" t="s">
        <v>148</v>
      </c>
      <c r="E347" s="92" t="s">
        <v>164</v>
      </c>
      <c r="F347" s="92" t="s">
        <v>212</v>
      </c>
      <c r="G347" s="60" t="str">
        <f t="shared" si="56"/>
        <v>Noviembre</v>
      </c>
      <c r="H347" s="67">
        <v>45986</v>
      </c>
      <c r="I347" s="243">
        <v>45985</v>
      </c>
      <c r="J347" s="57" t="s">
        <v>176</v>
      </c>
      <c r="K347" s="54">
        <f>IFERROR(VLOOKUP('Score BD'!$J347,Lista!A:B,2,0)," ")</f>
        <v>52805909</v>
      </c>
      <c r="L347" s="61" t="s">
        <v>610</v>
      </c>
      <c r="M347" s="59" t="s">
        <v>4</v>
      </c>
      <c r="N347" s="59" t="s">
        <v>4</v>
      </c>
      <c r="O347" s="59" t="s">
        <v>4</v>
      </c>
      <c r="P347" s="59" t="s">
        <v>4</v>
      </c>
      <c r="Q347" s="96">
        <f t="shared" si="57"/>
        <v>1</v>
      </c>
      <c r="R347" s="59" t="s">
        <v>4</v>
      </c>
      <c r="S347" s="59" t="s">
        <v>4</v>
      </c>
      <c r="T347" s="59" t="s">
        <v>4</v>
      </c>
      <c r="U347" s="59" t="s">
        <v>4</v>
      </c>
      <c r="V347" s="45">
        <f t="shared" si="58"/>
        <v>1</v>
      </c>
      <c r="W347" s="59" t="s">
        <v>4</v>
      </c>
      <c r="X347" s="59" t="s">
        <v>4</v>
      </c>
      <c r="Y347" s="59" t="s">
        <v>4</v>
      </c>
      <c r="Z347" s="59" t="s">
        <v>4</v>
      </c>
      <c r="AA347" s="59" t="s">
        <v>4</v>
      </c>
      <c r="AB347" s="59" t="s">
        <v>4</v>
      </c>
      <c r="AC347" s="45">
        <f t="shared" si="59"/>
        <v>1.000000000000002</v>
      </c>
      <c r="AD347" s="43" t="s">
        <v>4</v>
      </c>
      <c r="AE347" s="43" t="s">
        <v>4</v>
      </c>
      <c r="AF347" s="97">
        <f t="shared" si="60"/>
        <v>1</v>
      </c>
      <c r="AG347" s="44">
        <f t="shared" si="61"/>
        <v>1.0000000000000004</v>
      </c>
      <c r="AH347" s="55">
        <f t="shared" si="62"/>
        <v>0</v>
      </c>
      <c r="AI347" s="55">
        <f>COUNTIF('Score BD'!$M347:$P347,"no")</f>
        <v>0</v>
      </c>
      <c r="AJ347" s="55">
        <f t="shared" si="63"/>
        <v>0</v>
      </c>
      <c r="AK347" s="55">
        <f t="shared" si="64"/>
        <v>0</v>
      </c>
      <c r="AL347" s="55">
        <f t="shared" si="65"/>
        <v>0</v>
      </c>
      <c r="AM347" s="157" t="s">
        <v>630</v>
      </c>
      <c r="AN347" s="55"/>
      <c r="AO347" s="61"/>
      <c r="AP347" s="61"/>
      <c r="AQ347" s="59" t="str">
        <f>IFERROR(_xlfn.XLOOKUP(Tabla1[[#This Row],[Cedula agente]],Lista!$B$2:$B$97,Lista!$G$2:$G$97)," ")</f>
        <v>Luisa Fernanda Benavides Castrillon</v>
      </c>
      <c r="AR347" s="59" t="s">
        <v>162</v>
      </c>
      <c r="AS347" s="55" t="str">
        <f>IFERROR(_xlfn.XLOOKUP(Tabla1[[#This Row],[Cedula agente]],Lista!$B$2:$B$97,Lista!$F$2:$F$97)," ")</f>
        <v>John Sebastian Roncancio Avendaño</v>
      </c>
      <c r="AT347" s="99">
        <v>0.95</v>
      </c>
      <c r="AU347" s="200">
        <f>+WEEKNUM('Score BD'!$I348)-WEEKNUM(DATE(YEAR('Score BD'!$I348),MONTH('Score BD'!$I348),1))+1</f>
        <v>5</v>
      </c>
    </row>
    <row r="348" spans="1:47" ht="17.45" customHeight="1" x14ac:dyDescent="0.3">
      <c r="A348" s="49" t="str">
        <f t="shared" si="55"/>
        <v>Ministerio de Educación Nacional</v>
      </c>
      <c r="B348" s="50">
        <f>+IFERROR(COUNTIF($J$3:J348,J348)," ")</f>
        <v>29</v>
      </c>
      <c r="C348" s="54" t="str">
        <f>+'Score BD'!$J348&amp;'Score BD'!$B348</f>
        <v>Ingrid Carolina Monsalve Quintero29</v>
      </c>
      <c r="D348" s="91" t="s">
        <v>148</v>
      </c>
      <c r="E348" s="92" t="s">
        <v>164</v>
      </c>
      <c r="F348" s="92" t="s">
        <v>212</v>
      </c>
      <c r="G348" s="60" t="str">
        <f t="shared" si="56"/>
        <v>Noviembre</v>
      </c>
      <c r="H348" s="67">
        <v>45986</v>
      </c>
      <c r="I348" s="243">
        <v>45985</v>
      </c>
      <c r="J348" s="57" t="s">
        <v>176</v>
      </c>
      <c r="K348" s="54">
        <f>IFERROR(VLOOKUP('Score BD'!$J348,Lista!A:B,2,0)," ")</f>
        <v>52805909</v>
      </c>
      <c r="L348" s="61" t="s">
        <v>611</v>
      </c>
      <c r="M348" s="59" t="s">
        <v>4</v>
      </c>
      <c r="N348" s="59" t="s">
        <v>4</v>
      </c>
      <c r="O348" s="59" t="s">
        <v>4</v>
      </c>
      <c r="P348" s="59" t="s">
        <v>4</v>
      </c>
      <c r="Q348" s="96">
        <f t="shared" si="57"/>
        <v>1</v>
      </c>
      <c r="R348" s="59" t="s">
        <v>4</v>
      </c>
      <c r="S348" s="59" t="s">
        <v>4</v>
      </c>
      <c r="T348" s="59" t="s">
        <v>4</v>
      </c>
      <c r="U348" s="59" t="s">
        <v>4</v>
      </c>
      <c r="V348" s="45">
        <f t="shared" si="58"/>
        <v>1</v>
      </c>
      <c r="W348" s="59" t="s">
        <v>4</v>
      </c>
      <c r="X348" s="59" t="s">
        <v>4</v>
      </c>
      <c r="Y348" s="59" t="s">
        <v>4</v>
      </c>
      <c r="Z348" s="59" t="s">
        <v>4</v>
      </c>
      <c r="AA348" s="59" t="s">
        <v>4</v>
      </c>
      <c r="AB348" s="59" t="s">
        <v>4</v>
      </c>
      <c r="AC348" s="45">
        <f t="shared" si="59"/>
        <v>1.000000000000002</v>
      </c>
      <c r="AD348" s="43" t="s">
        <v>4</v>
      </c>
      <c r="AE348" s="43" t="s">
        <v>4</v>
      </c>
      <c r="AF348" s="97">
        <f t="shared" si="60"/>
        <v>1</v>
      </c>
      <c r="AG348" s="44">
        <f t="shared" si="61"/>
        <v>1.0000000000000004</v>
      </c>
      <c r="AH348" s="55">
        <f t="shared" si="62"/>
        <v>0</v>
      </c>
      <c r="AI348" s="55">
        <f>COUNTIF('Score BD'!$M348:$P348,"no")</f>
        <v>0</v>
      </c>
      <c r="AJ348" s="55">
        <f t="shared" si="63"/>
        <v>0</v>
      </c>
      <c r="AK348" s="55">
        <f t="shared" si="64"/>
        <v>0</v>
      </c>
      <c r="AL348" s="55">
        <f t="shared" si="65"/>
        <v>0</v>
      </c>
      <c r="AM348" s="157" t="s">
        <v>630</v>
      </c>
      <c r="AN348" s="55"/>
      <c r="AO348" s="102"/>
      <c r="AP348" s="256"/>
      <c r="AQ348" s="59" t="str">
        <f>IFERROR(_xlfn.XLOOKUP(Tabla1[[#This Row],[Cedula agente]],Lista!$B$2:$B$97,Lista!$G$2:$G$97)," ")</f>
        <v>Luisa Fernanda Benavides Castrillon</v>
      </c>
      <c r="AR348" s="59" t="s">
        <v>162</v>
      </c>
      <c r="AS348" s="55" t="str">
        <f>IFERROR(_xlfn.XLOOKUP(Tabla1[[#This Row],[Cedula agente]],Lista!$B$2:$B$97,Lista!$F$2:$F$97)," ")</f>
        <v>John Sebastian Roncancio Avendaño</v>
      </c>
      <c r="AT348" s="99">
        <v>0.95</v>
      </c>
      <c r="AU348" s="200">
        <f>+WEEKNUM('Score BD'!$I349)-WEEKNUM(DATE(YEAR('Score BD'!$I349),MONTH('Score BD'!$I349),1))+1</f>
        <v>5</v>
      </c>
    </row>
    <row r="349" spans="1:47" ht="17.45" customHeight="1" x14ac:dyDescent="0.3">
      <c r="A349" s="49" t="str">
        <f t="shared" si="55"/>
        <v>Ministerio de Educación Nacional</v>
      </c>
      <c r="B349" s="50">
        <f>+IFERROR(COUNTIF($J$3:J349,J349)," ")</f>
        <v>12</v>
      </c>
      <c r="C349" s="54" t="str">
        <f>+'Score BD'!$J349&amp;'Score BD'!$B349</f>
        <v>Jesus David Hernandez Fernandez de Castro12</v>
      </c>
      <c r="D349" s="91" t="s">
        <v>148</v>
      </c>
      <c r="E349" s="92" t="s">
        <v>208</v>
      </c>
      <c r="F349" s="92" t="s">
        <v>212</v>
      </c>
      <c r="G349" s="60" t="str">
        <f t="shared" si="56"/>
        <v>Noviembre</v>
      </c>
      <c r="H349" s="67">
        <v>45986</v>
      </c>
      <c r="I349" s="243">
        <v>45985</v>
      </c>
      <c r="J349" s="57" t="s">
        <v>177</v>
      </c>
      <c r="K349" s="54">
        <f>IFERROR(VLOOKUP('Score BD'!$J349,Lista!A:B,2,0)," ")</f>
        <v>1083038013</v>
      </c>
      <c r="L349" s="61" t="s">
        <v>612</v>
      </c>
      <c r="M349" s="59" t="s">
        <v>4</v>
      </c>
      <c r="N349" s="59" t="s">
        <v>4</v>
      </c>
      <c r="O349" s="59" t="s">
        <v>4</v>
      </c>
      <c r="P349" s="59" t="s">
        <v>4</v>
      </c>
      <c r="Q349" s="96">
        <f t="shared" si="57"/>
        <v>1</v>
      </c>
      <c r="R349" s="59" t="s">
        <v>4</v>
      </c>
      <c r="S349" s="59" t="s">
        <v>4</v>
      </c>
      <c r="T349" s="59" t="s">
        <v>4</v>
      </c>
      <c r="U349" s="59" t="s">
        <v>4</v>
      </c>
      <c r="V349" s="45">
        <f t="shared" si="58"/>
        <v>1</v>
      </c>
      <c r="W349" s="59" t="s">
        <v>4</v>
      </c>
      <c r="X349" s="59" t="s">
        <v>4</v>
      </c>
      <c r="Y349" s="59" t="s">
        <v>4</v>
      </c>
      <c r="Z349" s="59" t="s">
        <v>4</v>
      </c>
      <c r="AA349" s="59" t="s">
        <v>4</v>
      </c>
      <c r="AB349" s="59" t="s">
        <v>4</v>
      </c>
      <c r="AC349" s="45">
        <f t="shared" si="59"/>
        <v>1.000000000000002</v>
      </c>
      <c r="AD349" s="43" t="s">
        <v>4</v>
      </c>
      <c r="AE349" s="43" t="s">
        <v>4</v>
      </c>
      <c r="AF349" s="97">
        <f t="shared" si="60"/>
        <v>1</v>
      </c>
      <c r="AG349" s="44">
        <f t="shared" si="61"/>
        <v>1.0000000000000004</v>
      </c>
      <c r="AH349" s="55">
        <f t="shared" si="62"/>
        <v>0</v>
      </c>
      <c r="AI349" s="55">
        <f>COUNTIF('Score BD'!$M349:$P349,"no")</f>
        <v>0</v>
      </c>
      <c r="AJ349" s="55">
        <f t="shared" si="63"/>
        <v>0</v>
      </c>
      <c r="AK349" s="55">
        <f t="shared" si="64"/>
        <v>0</v>
      </c>
      <c r="AL349" s="55">
        <f t="shared" si="65"/>
        <v>0</v>
      </c>
      <c r="AM349" s="157" t="s">
        <v>630</v>
      </c>
      <c r="AN349" s="55"/>
      <c r="AO349" s="61"/>
      <c r="AP349" s="61"/>
      <c r="AQ349" s="59" t="str">
        <f>IFERROR(_xlfn.XLOOKUP(Tabla1[[#This Row],[Cedula agente]],Lista!$B$2:$B$97,Lista!$G$2:$G$97)," ")</f>
        <v>Luisa Fernanda Benavides Castrillon</v>
      </c>
      <c r="AR349" s="59" t="s">
        <v>162</v>
      </c>
      <c r="AS349" s="55" t="str">
        <f>IFERROR(_xlfn.XLOOKUP(Tabla1[[#This Row],[Cedula agente]],Lista!$B$2:$B$97,Lista!$F$2:$F$97)," ")</f>
        <v>John Sebastian Roncancio Avendaño</v>
      </c>
      <c r="AT349" s="99">
        <v>0.95</v>
      </c>
      <c r="AU349" s="200">
        <f>+WEEKNUM('Score BD'!$I350)-WEEKNUM(DATE(YEAR('Score BD'!$I350),MONTH('Score BD'!$I350),1))+1</f>
        <v>5</v>
      </c>
    </row>
    <row r="350" spans="1:47" ht="17.45" customHeight="1" x14ac:dyDescent="0.3">
      <c r="A350" s="49" t="str">
        <f t="shared" si="55"/>
        <v>Ministerio de Educación Nacional</v>
      </c>
      <c r="B350" s="50">
        <f>+IFERROR(COUNTIF($J$3:J350,J350)," ")</f>
        <v>19</v>
      </c>
      <c r="C350" s="54" t="str">
        <f>+'Score BD'!$J350&amp;'Score BD'!$B350</f>
        <v>Juan Jose Santoya Medina19</v>
      </c>
      <c r="D350" s="91" t="s">
        <v>148</v>
      </c>
      <c r="E350" s="92" t="s">
        <v>165</v>
      </c>
      <c r="F350" s="92" t="s">
        <v>212</v>
      </c>
      <c r="G350" s="60" t="str">
        <f t="shared" si="56"/>
        <v>Noviembre</v>
      </c>
      <c r="H350" s="67">
        <v>45986</v>
      </c>
      <c r="I350" s="243">
        <v>45985</v>
      </c>
      <c r="J350" s="57" t="s">
        <v>178</v>
      </c>
      <c r="K350" s="54">
        <f>IFERROR(VLOOKUP('Score BD'!$J350,Lista!A:B,2,0)," ")</f>
        <v>1053345183</v>
      </c>
      <c r="L350" s="61" t="s">
        <v>613</v>
      </c>
      <c r="M350" s="59" t="s">
        <v>4</v>
      </c>
      <c r="N350" s="59" t="s">
        <v>4</v>
      </c>
      <c r="O350" s="59" t="s">
        <v>4</v>
      </c>
      <c r="P350" s="59" t="s">
        <v>4</v>
      </c>
      <c r="Q350" s="96">
        <f t="shared" si="57"/>
        <v>1</v>
      </c>
      <c r="R350" s="59" t="s">
        <v>4</v>
      </c>
      <c r="S350" s="59" t="s">
        <v>4</v>
      </c>
      <c r="T350" s="59" t="s">
        <v>4</v>
      </c>
      <c r="U350" s="59" t="s">
        <v>4</v>
      </c>
      <c r="V350" s="45">
        <f t="shared" si="58"/>
        <v>1</v>
      </c>
      <c r="W350" s="59" t="s">
        <v>4</v>
      </c>
      <c r="X350" s="59" t="s">
        <v>4</v>
      </c>
      <c r="Y350" s="59" t="s">
        <v>4</v>
      </c>
      <c r="Z350" s="59" t="s">
        <v>4</v>
      </c>
      <c r="AA350" s="59" t="s">
        <v>4</v>
      </c>
      <c r="AB350" s="59" t="s">
        <v>4</v>
      </c>
      <c r="AC350" s="45">
        <f t="shared" si="59"/>
        <v>1.000000000000002</v>
      </c>
      <c r="AD350" s="43" t="s">
        <v>4</v>
      </c>
      <c r="AE350" s="43" t="s">
        <v>4</v>
      </c>
      <c r="AF350" s="97">
        <f t="shared" si="60"/>
        <v>1</v>
      </c>
      <c r="AG350" s="44">
        <f t="shared" si="61"/>
        <v>1.0000000000000004</v>
      </c>
      <c r="AH350" s="55">
        <f t="shared" si="62"/>
        <v>0</v>
      </c>
      <c r="AI350" s="55">
        <f>COUNTIF('Score BD'!$M350:$P350,"no")</f>
        <v>0</v>
      </c>
      <c r="AJ350" s="55">
        <f t="shared" si="63"/>
        <v>0</v>
      </c>
      <c r="AK350" s="55">
        <f t="shared" si="64"/>
        <v>0</v>
      </c>
      <c r="AL350" s="55">
        <f t="shared" si="65"/>
        <v>0</v>
      </c>
      <c r="AM350" s="157" t="s">
        <v>630</v>
      </c>
      <c r="AN350" s="55"/>
      <c r="AO350" s="61"/>
      <c r="AP350" s="61"/>
      <c r="AQ350" s="59" t="str">
        <f>IFERROR(_xlfn.XLOOKUP(Tabla1[[#This Row],[Cedula agente]],Lista!$B$2:$B$97,Lista!$G$2:$G$97)," ")</f>
        <v>Luisa Fernanda Benavides Castrillon</v>
      </c>
      <c r="AR350" s="59" t="s">
        <v>162</v>
      </c>
      <c r="AS350" s="55" t="str">
        <f>IFERROR(_xlfn.XLOOKUP(Tabla1[[#This Row],[Cedula agente]],Lista!$B$2:$B$97,Lista!$F$2:$F$97)," ")</f>
        <v>John Sebastian Roncancio Avendaño</v>
      </c>
      <c r="AT350" s="99">
        <v>0.95</v>
      </c>
      <c r="AU350" s="200">
        <f>+WEEKNUM('Score BD'!$I351)-WEEKNUM(DATE(YEAR('Score BD'!$I351),MONTH('Score BD'!$I351),1))+1</f>
        <v>5</v>
      </c>
    </row>
    <row r="351" spans="1:47" ht="17.45" customHeight="1" x14ac:dyDescent="0.3">
      <c r="A351" s="49" t="str">
        <f t="shared" si="55"/>
        <v>Ministerio de Educación Nacional</v>
      </c>
      <c r="B351" s="50">
        <f>+IFERROR(COUNTIF($J$3:J351,J351)," ")</f>
        <v>14</v>
      </c>
      <c r="C351" s="54" t="str">
        <f>+'Score BD'!$J351&amp;'Score BD'!$B351</f>
        <v>Juan Sebastián Suárez Morales14</v>
      </c>
      <c r="D351" s="91" t="s">
        <v>148</v>
      </c>
      <c r="E351" s="92" t="s">
        <v>165</v>
      </c>
      <c r="F351" s="92" t="s">
        <v>212</v>
      </c>
      <c r="G351" s="60" t="str">
        <f t="shared" si="56"/>
        <v>Noviembre</v>
      </c>
      <c r="H351" s="67">
        <v>45986</v>
      </c>
      <c r="I351" s="243">
        <v>45985</v>
      </c>
      <c r="J351" s="57" t="s">
        <v>179</v>
      </c>
      <c r="K351" s="54">
        <f>IFERROR(VLOOKUP('Score BD'!$J351,Lista!A:B,2,0)," ")</f>
        <v>1030541070</v>
      </c>
      <c r="L351" s="61" t="s">
        <v>614</v>
      </c>
      <c r="M351" s="59" t="s">
        <v>4</v>
      </c>
      <c r="N351" s="59" t="s">
        <v>4</v>
      </c>
      <c r="O351" s="59" t="s">
        <v>4</v>
      </c>
      <c r="P351" s="59" t="s">
        <v>4</v>
      </c>
      <c r="Q351" s="96">
        <f t="shared" si="57"/>
        <v>1</v>
      </c>
      <c r="R351" s="59" t="s">
        <v>4</v>
      </c>
      <c r="S351" s="59" t="s">
        <v>4</v>
      </c>
      <c r="T351" s="59" t="s">
        <v>4</v>
      </c>
      <c r="U351" s="59" t="s">
        <v>4</v>
      </c>
      <c r="V351" s="45">
        <f t="shared" si="58"/>
        <v>1</v>
      </c>
      <c r="W351" s="59" t="s">
        <v>4</v>
      </c>
      <c r="X351" s="59" t="s">
        <v>4</v>
      </c>
      <c r="Y351" s="59" t="s">
        <v>4</v>
      </c>
      <c r="Z351" s="59" t="s">
        <v>4</v>
      </c>
      <c r="AA351" s="59" t="s">
        <v>4</v>
      </c>
      <c r="AB351" s="59" t="s">
        <v>4</v>
      </c>
      <c r="AC351" s="45">
        <f t="shared" si="59"/>
        <v>1.000000000000002</v>
      </c>
      <c r="AD351" s="43" t="s">
        <v>4</v>
      </c>
      <c r="AE351" s="43" t="s">
        <v>4</v>
      </c>
      <c r="AF351" s="97">
        <f t="shared" si="60"/>
        <v>1</v>
      </c>
      <c r="AG351" s="44">
        <f t="shared" si="61"/>
        <v>1.0000000000000004</v>
      </c>
      <c r="AH351" s="55">
        <f t="shared" si="62"/>
        <v>0</v>
      </c>
      <c r="AI351" s="55">
        <f>COUNTIF('Score BD'!$M351:$P351,"no")</f>
        <v>0</v>
      </c>
      <c r="AJ351" s="55">
        <f t="shared" si="63"/>
        <v>0</v>
      </c>
      <c r="AK351" s="55">
        <f t="shared" si="64"/>
        <v>0</v>
      </c>
      <c r="AL351" s="55">
        <f t="shared" si="65"/>
        <v>0</v>
      </c>
      <c r="AM351" s="157" t="s">
        <v>630</v>
      </c>
      <c r="AN351" s="55"/>
      <c r="AO351" s="61"/>
      <c r="AP351" s="61"/>
      <c r="AQ351" s="59" t="str">
        <f>IFERROR(_xlfn.XLOOKUP(Tabla1[[#This Row],[Cedula agente]],Lista!$B$2:$B$97,Lista!$G$2:$G$97)," ")</f>
        <v>Luisa Fernanda Benavides Castrillon</v>
      </c>
      <c r="AR351" s="59" t="s">
        <v>162</v>
      </c>
      <c r="AS351" s="55" t="str">
        <f>IFERROR(_xlfn.XLOOKUP(Tabla1[[#This Row],[Cedula agente]],Lista!$B$2:$B$97,Lista!$F$2:$F$97)," ")</f>
        <v>John Sebastian Roncancio Avendaño</v>
      </c>
      <c r="AT351" s="99">
        <v>0.95</v>
      </c>
      <c r="AU351" s="200">
        <f>+WEEKNUM('Score BD'!$I352)-WEEKNUM(DATE(YEAR('Score BD'!$I352),MONTH('Score BD'!$I352),1))+1</f>
        <v>5</v>
      </c>
    </row>
    <row r="352" spans="1:47" ht="17.45" customHeight="1" x14ac:dyDescent="0.3">
      <c r="A352" s="49" t="str">
        <f t="shared" si="55"/>
        <v>Ministerio de Educación Nacional</v>
      </c>
      <c r="B352" s="50">
        <f>+IFERROR(COUNTIF($J$3:J352,J352)," ")</f>
        <v>15</v>
      </c>
      <c r="C352" s="54" t="str">
        <f>+'Score BD'!$J352&amp;'Score BD'!$B352</f>
        <v>Juan Sebastián Suárez Morales15</v>
      </c>
      <c r="D352" s="91" t="s">
        <v>148</v>
      </c>
      <c r="E352" s="92" t="s">
        <v>165</v>
      </c>
      <c r="F352" s="92" t="s">
        <v>212</v>
      </c>
      <c r="G352" s="60" t="str">
        <f t="shared" si="56"/>
        <v>Noviembre</v>
      </c>
      <c r="H352" s="67">
        <v>45986</v>
      </c>
      <c r="I352" s="243">
        <v>45985</v>
      </c>
      <c r="J352" s="57" t="s">
        <v>179</v>
      </c>
      <c r="K352" s="54">
        <f>IFERROR(VLOOKUP('Score BD'!$J352,Lista!A:B,2,0)," ")</f>
        <v>1030541070</v>
      </c>
      <c r="L352" s="61" t="s">
        <v>615</v>
      </c>
      <c r="M352" s="59" t="s">
        <v>4</v>
      </c>
      <c r="N352" s="59" t="s">
        <v>4</v>
      </c>
      <c r="O352" s="59" t="s">
        <v>4</v>
      </c>
      <c r="P352" s="59" t="s">
        <v>4</v>
      </c>
      <c r="Q352" s="96">
        <f t="shared" si="57"/>
        <v>1</v>
      </c>
      <c r="R352" s="59" t="s">
        <v>4</v>
      </c>
      <c r="S352" s="59" t="s">
        <v>4</v>
      </c>
      <c r="T352" s="59" t="s">
        <v>4</v>
      </c>
      <c r="U352" s="59" t="s">
        <v>4</v>
      </c>
      <c r="V352" s="45">
        <f t="shared" si="58"/>
        <v>1</v>
      </c>
      <c r="W352" s="59" t="s">
        <v>4</v>
      </c>
      <c r="X352" s="59" t="s">
        <v>4</v>
      </c>
      <c r="Y352" s="59" t="s">
        <v>4</v>
      </c>
      <c r="Z352" s="59" t="s">
        <v>4</v>
      </c>
      <c r="AA352" s="59" t="s">
        <v>4</v>
      </c>
      <c r="AB352" s="59" t="s">
        <v>4</v>
      </c>
      <c r="AC352" s="45">
        <f t="shared" si="59"/>
        <v>1.000000000000002</v>
      </c>
      <c r="AD352" s="43" t="s">
        <v>4</v>
      </c>
      <c r="AE352" s="43" t="s">
        <v>4</v>
      </c>
      <c r="AF352" s="97">
        <f t="shared" si="60"/>
        <v>1</v>
      </c>
      <c r="AG352" s="44">
        <f t="shared" si="61"/>
        <v>1.0000000000000004</v>
      </c>
      <c r="AH352" s="55">
        <f t="shared" si="62"/>
        <v>0</v>
      </c>
      <c r="AI352" s="55">
        <f>COUNTIF('Score BD'!$M352:$P352,"no")</f>
        <v>0</v>
      </c>
      <c r="AJ352" s="55">
        <f t="shared" si="63"/>
        <v>0</v>
      </c>
      <c r="AK352" s="55">
        <f t="shared" si="64"/>
        <v>0</v>
      </c>
      <c r="AL352" s="55">
        <f t="shared" si="65"/>
        <v>0</v>
      </c>
      <c r="AM352" s="157" t="s">
        <v>630</v>
      </c>
      <c r="AN352" s="55"/>
      <c r="AO352" s="61"/>
      <c r="AP352" s="61"/>
      <c r="AQ352" s="59" t="str">
        <f>IFERROR(_xlfn.XLOOKUP(Tabla1[[#This Row],[Cedula agente]],Lista!$B$2:$B$97,Lista!$G$2:$G$97)," ")</f>
        <v>Luisa Fernanda Benavides Castrillon</v>
      </c>
      <c r="AR352" s="59" t="s">
        <v>162</v>
      </c>
      <c r="AS352" s="55" t="str">
        <f>IFERROR(_xlfn.XLOOKUP(Tabla1[[#This Row],[Cedula agente]],Lista!$B$2:$B$97,Lista!$F$2:$F$97)," ")</f>
        <v>John Sebastian Roncancio Avendaño</v>
      </c>
      <c r="AT352" s="99">
        <v>0.95</v>
      </c>
      <c r="AU352" s="200">
        <f>+WEEKNUM('Score BD'!$I353)-WEEKNUM(DATE(YEAR('Score BD'!$I353),MONTH('Score BD'!$I353),1))+1</f>
        <v>5</v>
      </c>
    </row>
    <row r="353" spans="1:47" ht="17.45" customHeight="1" x14ac:dyDescent="0.3">
      <c r="A353" s="49" t="str">
        <f t="shared" si="55"/>
        <v>Ministerio de Educación Nacional</v>
      </c>
      <c r="B353" s="50">
        <f>+IFERROR(COUNTIF($J$3:J353,J353)," ")</f>
        <v>13</v>
      </c>
      <c r="C353" s="54" t="str">
        <f>+'Score BD'!$J353&amp;'Score BD'!$B353</f>
        <v>Laura Ximena Sandoval Galindo13</v>
      </c>
      <c r="D353" s="91" t="s">
        <v>148</v>
      </c>
      <c r="E353" s="92" t="s">
        <v>208</v>
      </c>
      <c r="F353" s="92" t="s">
        <v>212</v>
      </c>
      <c r="G353" s="60" t="str">
        <f t="shared" si="56"/>
        <v>Noviembre</v>
      </c>
      <c r="H353" s="67">
        <v>45986</v>
      </c>
      <c r="I353" s="243">
        <v>45985</v>
      </c>
      <c r="J353" s="57" t="s">
        <v>201</v>
      </c>
      <c r="K353" s="54">
        <f>IFERROR(VLOOKUP('Score BD'!$J353,Lista!A:B,2,0)," ")</f>
        <v>1030678660</v>
      </c>
      <c r="L353" s="61" t="s">
        <v>616</v>
      </c>
      <c r="M353" s="59" t="s">
        <v>4</v>
      </c>
      <c r="N353" s="59" t="s">
        <v>4</v>
      </c>
      <c r="O353" s="59" t="s">
        <v>4</v>
      </c>
      <c r="P353" s="59" t="s">
        <v>4</v>
      </c>
      <c r="Q353" s="96">
        <f t="shared" si="57"/>
        <v>1</v>
      </c>
      <c r="R353" s="59" t="s">
        <v>4</v>
      </c>
      <c r="S353" s="59" t="s">
        <v>4</v>
      </c>
      <c r="T353" s="59" t="s">
        <v>4</v>
      </c>
      <c r="U353" s="59" t="s">
        <v>4</v>
      </c>
      <c r="V353" s="45">
        <f t="shared" si="58"/>
        <v>1</v>
      </c>
      <c r="W353" s="59" t="s">
        <v>4</v>
      </c>
      <c r="X353" s="59" t="s">
        <v>4</v>
      </c>
      <c r="Y353" s="59" t="s">
        <v>4</v>
      </c>
      <c r="Z353" s="59" t="s">
        <v>4</v>
      </c>
      <c r="AA353" s="59" t="s">
        <v>4</v>
      </c>
      <c r="AB353" s="59" t="s">
        <v>4</v>
      </c>
      <c r="AC353" s="45">
        <f t="shared" si="59"/>
        <v>1.000000000000002</v>
      </c>
      <c r="AD353" s="43" t="s">
        <v>4</v>
      </c>
      <c r="AE353" s="43" t="s">
        <v>4</v>
      </c>
      <c r="AF353" s="97">
        <f t="shared" si="60"/>
        <v>1</v>
      </c>
      <c r="AG353" s="44">
        <f t="shared" si="61"/>
        <v>1.0000000000000004</v>
      </c>
      <c r="AH353" s="55">
        <f t="shared" si="62"/>
        <v>0</v>
      </c>
      <c r="AI353" s="55">
        <f>COUNTIF('Score BD'!$M353:$P353,"no")</f>
        <v>0</v>
      </c>
      <c r="AJ353" s="55">
        <f t="shared" si="63"/>
        <v>0</v>
      </c>
      <c r="AK353" s="55">
        <f t="shared" si="64"/>
        <v>0</v>
      </c>
      <c r="AL353" s="55">
        <f t="shared" si="65"/>
        <v>0</v>
      </c>
      <c r="AM353" s="157" t="s">
        <v>630</v>
      </c>
      <c r="AN353" s="55"/>
      <c r="AO353" s="61"/>
      <c r="AP353" s="61"/>
      <c r="AQ353" s="59" t="str">
        <f>IFERROR(_xlfn.XLOOKUP(Tabla1[[#This Row],[Cedula agente]],Lista!$B$2:$B$97,Lista!$G$2:$G$97)," ")</f>
        <v>Luisa Fernanda Benavides Castrillon</v>
      </c>
      <c r="AR353" s="59" t="s">
        <v>162</v>
      </c>
      <c r="AS353" s="55" t="str">
        <f>IFERROR(_xlfn.XLOOKUP(Tabla1[[#This Row],[Cedula agente]],Lista!$B$2:$B$97,Lista!$F$2:$F$97)," ")</f>
        <v>John Sebastian Roncancio Avendaño</v>
      </c>
      <c r="AT353" s="99">
        <v>0.95</v>
      </c>
      <c r="AU353" s="200">
        <f>+WEEKNUM('Score BD'!$I354)-WEEKNUM(DATE(YEAR('Score BD'!$I354),MONTH('Score BD'!$I354),1))+1</f>
        <v>5</v>
      </c>
    </row>
    <row r="354" spans="1:47" ht="17.45" customHeight="1" x14ac:dyDescent="0.3">
      <c r="A354" s="49" t="str">
        <f t="shared" si="55"/>
        <v>Ministerio de Educación Nacional</v>
      </c>
      <c r="B354" s="50">
        <f>+IFERROR(COUNTIF($J$3:J354,J354)," ")</f>
        <v>28</v>
      </c>
      <c r="C354" s="54" t="str">
        <f>+'Score BD'!$J354&amp;'Score BD'!$B354</f>
        <v>Maira Alejandra Rodriguez Losada28</v>
      </c>
      <c r="D354" s="91" t="s">
        <v>148</v>
      </c>
      <c r="E354" s="92" t="s">
        <v>164</v>
      </c>
      <c r="F354" s="92" t="s">
        <v>212</v>
      </c>
      <c r="G354" s="60" t="str">
        <f t="shared" si="56"/>
        <v>Noviembre</v>
      </c>
      <c r="H354" s="67">
        <v>45986</v>
      </c>
      <c r="I354" s="243">
        <v>45985</v>
      </c>
      <c r="J354" s="57" t="s">
        <v>204</v>
      </c>
      <c r="K354" s="54">
        <f>IFERROR(VLOOKUP('Score BD'!$J354,Lista!A:B,2,0)," ")</f>
        <v>1075224344</v>
      </c>
      <c r="L354" s="61" t="s">
        <v>617</v>
      </c>
      <c r="M354" s="59" t="s">
        <v>4</v>
      </c>
      <c r="N354" s="59" t="s">
        <v>4</v>
      </c>
      <c r="O354" s="59" t="s">
        <v>4</v>
      </c>
      <c r="P354" s="59" t="s">
        <v>4</v>
      </c>
      <c r="Q354" s="96">
        <f t="shared" si="57"/>
        <v>1</v>
      </c>
      <c r="R354" s="59" t="s">
        <v>4</v>
      </c>
      <c r="S354" s="59" t="s">
        <v>4</v>
      </c>
      <c r="T354" s="59" t="s">
        <v>4</v>
      </c>
      <c r="U354" s="59" t="s">
        <v>4</v>
      </c>
      <c r="V354" s="45">
        <f t="shared" si="58"/>
        <v>1</v>
      </c>
      <c r="W354" s="59" t="s">
        <v>4</v>
      </c>
      <c r="X354" s="59" t="s">
        <v>4</v>
      </c>
      <c r="Y354" s="59" t="s">
        <v>4</v>
      </c>
      <c r="Z354" s="59" t="s">
        <v>4</v>
      </c>
      <c r="AA354" s="59" t="s">
        <v>4</v>
      </c>
      <c r="AB354" s="59" t="s">
        <v>4</v>
      </c>
      <c r="AC354" s="45">
        <f t="shared" si="59"/>
        <v>1.000000000000002</v>
      </c>
      <c r="AD354" s="43" t="s">
        <v>4</v>
      </c>
      <c r="AE354" s="43" t="s">
        <v>4</v>
      </c>
      <c r="AF354" s="97">
        <f t="shared" si="60"/>
        <v>1</v>
      </c>
      <c r="AG354" s="44">
        <f t="shared" si="61"/>
        <v>1.0000000000000004</v>
      </c>
      <c r="AH354" s="55">
        <f t="shared" si="62"/>
        <v>0</v>
      </c>
      <c r="AI354" s="55">
        <f>COUNTIF('Score BD'!$M354:$P354,"no")</f>
        <v>0</v>
      </c>
      <c r="AJ354" s="55">
        <f t="shared" si="63"/>
        <v>0</v>
      </c>
      <c r="AK354" s="55">
        <f t="shared" si="64"/>
        <v>0</v>
      </c>
      <c r="AL354" s="55">
        <f t="shared" si="65"/>
        <v>0</v>
      </c>
      <c r="AM354" s="157" t="s">
        <v>630</v>
      </c>
      <c r="AN354" s="55"/>
      <c r="AO354" s="61"/>
      <c r="AP354" s="61"/>
      <c r="AQ354" s="59" t="str">
        <f>IFERROR(_xlfn.XLOOKUP(Tabla1[[#This Row],[Cedula agente]],Lista!$B$2:$B$97,Lista!$G$2:$G$97)," ")</f>
        <v>Luisa Fernanda Benavides Castrillon</v>
      </c>
      <c r="AR354" s="59" t="s">
        <v>162</v>
      </c>
      <c r="AS354" s="55" t="str">
        <f>IFERROR(_xlfn.XLOOKUP(Tabla1[[#This Row],[Cedula agente]],Lista!$B$2:$B$97,Lista!$F$2:$F$97)," ")</f>
        <v>John Sebastian Roncancio Avendaño</v>
      </c>
      <c r="AT354" s="99">
        <v>0.95</v>
      </c>
      <c r="AU354" s="200">
        <f>+WEEKNUM('Score BD'!$I355)-WEEKNUM(DATE(YEAR('Score BD'!$I355),MONTH('Score BD'!$I355),1))+1</f>
        <v>5</v>
      </c>
    </row>
    <row r="355" spans="1:47" ht="17.45" customHeight="1" x14ac:dyDescent="0.3">
      <c r="A355" s="49" t="str">
        <f t="shared" si="55"/>
        <v>Ministerio de Educación Nacional</v>
      </c>
      <c r="B355" s="50">
        <f>+IFERROR(COUNTIF($J$3:J355,J355)," ")</f>
        <v>29</v>
      </c>
      <c r="C355" s="54" t="str">
        <f>+'Score BD'!$J355&amp;'Score BD'!$B355</f>
        <v>Maira Alejandra Rodriguez Losada29</v>
      </c>
      <c r="D355" s="91" t="s">
        <v>148</v>
      </c>
      <c r="E355" s="92" t="s">
        <v>164</v>
      </c>
      <c r="F355" s="92" t="s">
        <v>212</v>
      </c>
      <c r="G355" s="60" t="str">
        <f t="shared" si="56"/>
        <v>Noviembre</v>
      </c>
      <c r="H355" s="67">
        <v>45986</v>
      </c>
      <c r="I355" s="243">
        <v>45985</v>
      </c>
      <c r="J355" s="57" t="s">
        <v>204</v>
      </c>
      <c r="K355" s="54">
        <f>IFERROR(VLOOKUP('Score BD'!$J355,Lista!A:B,2,0)," ")</f>
        <v>1075224344</v>
      </c>
      <c r="L355" s="61" t="s">
        <v>618</v>
      </c>
      <c r="M355" s="59" t="s">
        <v>4</v>
      </c>
      <c r="N355" s="59" t="s">
        <v>4</v>
      </c>
      <c r="O355" s="59" t="s">
        <v>4</v>
      </c>
      <c r="P355" s="59" t="s">
        <v>4</v>
      </c>
      <c r="Q355" s="96">
        <f t="shared" si="57"/>
        <v>1</v>
      </c>
      <c r="R355" s="59" t="s">
        <v>4</v>
      </c>
      <c r="S355" s="59" t="s">
        <v>4</v>
      </c>
      <c r="T355" s="59" t="s">
        <v>4</v>
      </c>
      <c r="U355" s="59" t="s">
        <v>4</v>
      </c>
      <c r="V355" s="45">
        <f t="shared" si="58"/>
        <v>1</v>
      </c>
      <c r="W355" s="59" t="s">
        <v>4</v>
      </c>
      <c r="X355" s="59" t="s">
        <v>4</v>
      </c>
      <c r="Y355" s="59" t="s">
        <v>4</v>
      </c>
      <c r="Z355" s="59" t="s">
        <v>4</v>
      </c>
      <c r="AA355" s="59" t="s">
        <v>4</v>
      </c>
      <c r="AB355" s="59" t="s">
        <v>4</v>
      </c>
      <c r="AC355" s="45">
        <f t="shared" si="59"/>
        <v>1.000000000000002</v>
      </c>
      <c r="AD355" s="43" t="s">
        <v>4</v>
      </c>
      <c r="AE355" s="43" t="s">
        <v>4</v>
      </c>
      <c r="AF355" s="97">
        <f t="shared" si="60"/>
        <v>1</v>
      </c>
      <c r="AG355" s="44">
        <f t="shared" si="61"/>
        <v>1.0000000000000004</v>
      </c>
      <c r="AH355" s="55">
        <f t="shared" si="62"/>
        <v>0</v>
      </c>
      <c r="AI355" s="55">
        <f>COUNTIF('Score BD'!$M355:$P355,"no")</f>
        <v>0</v>
      </c>
      <c r="AJ355" s="55">
        <f t="shared" si="63"/>
        <v>0</v>
      </c>
      <c r="AK355" s="55">
        <f t="shared" si="64"/>
        <v>0</v>
      </c>
      <c r="AL355" s="55">
        <f t="shared" si="65"/>
        <v>0</v>
      </c>
      <c r="AM355" s="157" t="s">
        <v>630</v>
      </c>
      <c r="AN355" s="55"/>
      <c r="AO355" s="61"/>
      <c r="AP355" s="61"/>
      <c r="AQ355" s="59" t="str">
        <f>IFERROR(_xlfn.XLOOKUP(Tabla1[[#This Row],[Cedula agente]],Lista!$B$2:$B$97,Lista!$G$2:$G$97)," ")</f>
        <v>Luisa Fernanda Benavides Castrillon</v>
      </c>
      <c r="AR355" s="59" t="s">
        <v>162</v>
      </c>
      <c r="AS355" s="55" t="str">
        <f>IFERROR(_xlfn.XLOOKUP(Tabla1[[#This Row],[Cedula agente]],Lista!$B$2:$B$97,Lista!$F$2:$F$97)," ")</f>
        <v>John Sebastian Roncancio Avendaño</v>
      </c>
      <c r="AT355" s="99">
        <v>0.95</v>
      </c>
      <c r="AU355" s="200">
        <f>+WEEKNUM('Score BD'!$I356)-WEEKNUM(DATE(YEAR('Score BD'!$I356),MONTH('Score BD'!$I356),1))+1</f>
        <v>5</v>
      </c>
    </row>
    <row r="356" spans="1:47" ht="17.45" customHeight="1" x14ac:dyDescent="0.3">
      <c r="A356" s="49" t="str">
        <f t="shared" si="55"/>
        <v>Ministerio de Educación Nacional</v>
      </c>
      <c r="B356" s="50">
        <f>+IFERROR(COUNTIF($J$3:J356,J356)," ")</f>
        <v>27</v>
      </c>
      <c r="C356" s="54" t="str">
        <f>+'Score BD'!$J356&amp;'Score BD'!$B356</f>
        <v>María José Uribe Medina27</v>
      </c>
      <c r="D356" s="91" t="s">
        <v>148</v>
      </c>
      <c r="E356" s="92" t="s">
        <v>164</v>
      </c>
      <c r="F356" s="92" t="s">
        <v>212</v>
      </c>
      <c r="G356" s="60" t="str">
        <f t="shared" si="56"/>
        <v>Noviembre</v>
      </c>
      <c r="H356" s="67">
        <v>45986</v>
      </c>
      <c r="I356" s="243">
        <v>45985</v>
      </c>
      <c r="J356" s="57" t="s">
        <v>205</v>
      </c>
      <c r="K356" s="54">
        <f>IFERROR(VLOOKUP('Score BD'!$J356,Lista!A:B,2,0)," ")</f>
        <v>1121919150</v>
      </c>
      <c r="L356" s="61" t="s">
        <v>619</v>
      </c>
      <c r="M356" s="59" t="s">
        <v>4</v>
      </c>
      <c r="N356" s="59" t="s">
        <v>4</v>
      </c>
      <c r="O356" s="59" t="s">
        <v>4</v>
      </c>
      <c r="P356" s="59" t="s">
        <v>4</v>
      </c>
      <c r="Q356" s="96">
        <f t="shared" si="57"/>
        <v>1</v>
      </c>
      <c r="R356" s="59" t="s">
        <v>4</v>
      </c>
      <c r="S356" s="59" t="s">
        <v>4</v>
      </c>
      <c r="T356" s="59" t="s">
        <v>4</v>
      </c>
      <c r="U356" s="59" t="s">
        <v>4</v>
      </c>
      <c r="V356" s="45">
        <f t="shared" si="58"/>
        <v>1</v>
      </c>
      <c r="W356" s="59" t="s">
        <v>4</v>
      </c>
      <c r="X356" s="59" t="s">
        <v>4</v>
      </c>
      <c r="Y356" s="59" t="s">
        <v>4</v>
      </c>
      <c r="Z356" s="59" t="s">
        <v>4</v>
      </c>
      <c r="AA356" s="59" t="s">
        <v>4</v>
      </c>
      <c r="AB356" s="59" t="s">
        <v>4</v>
      </c>
      <c r="AC356" s="45">
        <f t="shared" si="59"/>
        <v>1.000000000000002</v>
      </c>
      <c r="AD356" s="43" t="s">
        <v>4</v>
      </c>
      <c r="AE356" s="43" t="s">
        <v>4</v>
      </c>
      <c r="AF356" s="97">
        <f t="shared" si="60"/>
        <v>1</v>
      </c>
      <c r="AG356" s="44">
        <f t="shared" si="61"/>
        <v>1.0000000000000004</v>
      </c>
      <c r="AH356" s="55">
        <f t="shared" si="62"/>
        <v>0</v>
      </c>
      <c r="AI356" s="55">
        <f>COUNTIF('Score BD'!$M356:$P356,"no")</f>
        <v>0</v>
      </c>
      <c r="AJ356" s="55">
        <f t="shared" si="63"/>
        <v>0</v>
      </c>
      <c r="AK356" s="55">
        <f t="shared" si="64"/>
        <v>0</v>
      </c>
      <c r="AL356" s="55">
        <f t="shared" si="65"/>
        <v>0</v>
      </c>
      <c r="AM356" s="157" t="s">
        <v>630</v>
      </c>
      <c r="AN356" s="55"/>
      <c r="AO356" s="61"/>
      <c r="AP356" s="61"/>
      <c r="AQ356" s="59" t="str">
        <f>IFERROR(_xlfn.XLOOKUP(Tabla1[[#This Row],[Cedula agente]],Lista!$B$2:$B$97,Lista!$G$2:$G$97)," ")</f>
        <v>Luisa Fernanda Benavides Castrillon</v>
      </c>
      <c r="AR356" s="59" t="s">
        <v>162</v>
      </c>
      <c r="AS356" s="55" t="str">
        <f>IFERROR(_xlfn.XLOOKUP(Tabla1[[#This Row],[Cedula agente]],Lista!$B$2:$B$97,Lista!$F$2:$F$97)," ")</f>
        <v>John Sebastian Roncancio Avendaño</v>
      </c>
      <c r="AT356" s="99">
        <v>0.95</v>
      </c>
      <c r="AU356" s="200">
        <f>+WEEKNUM('Score BD'!$I357)-WEEKNUM(DATE(YEAR('Score BD'!$I357),MONTH('Score BD'!$I357),1))+1</f>
        <v>5</v>
      </c>
    </row>
    <row r="357" spans="1:47" ht="17.45" customHeight="1" x14ac:dyDescent="0.3">
      <c r="A357" s="49" t="str">
        <f t="shared" si="55"/>
        <v>Ministerio de Educación Nacional</v>
      </c>
      <c r="B357" s="50">
        <f>+IFERROR(COUNTIF($J$3:J357,J357)," ")</f>
        <v>28</v>
      </c>
      <c r="C357" s="54" t="str">
        <f>+'Score BD'!$J357&amp;'Score BD'!$B357</f>
        <v>María José Uribe Medina28</v>
      </c>
      <c r="D357" s="91" t="s">
        <v>148</v>
      </c>
      <c r="E357" s="92" t="s">
        <v>164</v>
      </c>
      <c r="F357" s="92" t="s">
        <v>212</v>
      </c>
      <c r="G357" s="60" t="str">
        <f t="shared" si="56"/>
        <v>Noviembre</v>
      </c>
      <c r="H357" s="67">
        <v>45986</v>
      </c>
      <c r="I357" s="243">
        <v>45985</v>
      </c>
      <c r="J357" s="57" t="s">
        <v>205</v>
      </c>
      <c r="K357" s="54">
        <f>IFERROR(VLOOKUP('Score BD'!$J357,Lista!A:B,2,0)," ")</f>
        <v>1121919150</v>
      </c>
      <c r="L357" s="61" t="s">
        <v>620</v>
      </c>
      <c r="M357" s="59" t="s">
        <v>4</v>
      </c>
      <c r="N357" s="59" t="s">
        <v>4</v>
      </c>
      <c r="O357" s="59" t="s">
        <v>4</v>
      </c>
      <c r="P357" s="59" t="s">
        <v>4</v>
      </c>
      <c r="Q357" s="96">
        <f t="shared" si="57"/>
        <v>1</v>
      </c>
      <c r="R357" s="59" t="s">
        <v>4</v>
      </c>
      <c r="S357" s="59" t="s">
        <v>4</v>
      </c>
      <c r="T357" s="59" t="s">
        <v>4</v>
      </c>
      <c r="U357" s="59" t="s">
        <v>4</v>
      </c>
      <c r="V357" s="45">
        <f t="shared" si="58"/>
        <v>1</v>
      </c>
      <c r="W357" s="59" t="s">
        <v>4</v>
      </c>
      <c r="X357" s="59" t="s">
        <v>4</v>
      </c>
      <c r="Y357" s="59" t="s">
        <v>4</v>
      </c>
      <c r="Z357" s="59" t="s">
        <v>4</v>
      </c>
      <c r="AA357" s="59" t="s">
        <v>4</v>
      </c>
      <c r="AB357" s="59" t="s">
        <v>4</v>
      </c>
      <c r="AC357" s="45">
        <f t="shared" si="59"/>
        <v>1.000000000000002</v>
      </c>
      <c r="AD357" s="43" t="s">
        <v>4</v>
      </c>
      <c r="AE357" s="43" t="s">
        <v>4</v>
      </c>
      <c r="AF357" s="97">
        <f t="shared" si="60"/>
        <v>1</v>
      </c>
      <c r="AG357" s="44">
        <f t="shared" si="61"/>
        <v>1.0000000000000004</v>
      </c>
      <c r="AH357" s="55">
        <f t="shared" si="62"/>
        <v>0</v>
      </c>
      <c r="AI357" s="55">
        <f>COUNTIF('Score BD'!$M357:$P357,"no")</f>
        <v>0</v>
      </c>
      <c r="AJ357" s="55">
        <f t="shared" si="63"/>
        <v>0</v>
      </c>
      <c r="AK357" s="55">
        <f t="shared" si="64"/>
        <v>0</v>
      </c>
      <c r="AL357" s="55">
        <f t="shared" si="65"/>
        <v>0</v>
      </c>
      <c r="AM357" s="157" t="s">
        <v>630</v>
      </c>
      <c r="AN357" s="55"/>
      <c r="AO357" s="61"/>
      <c r="AP357" s="61"/>
      <c r="AQ357" s="59" t="str">
        <f>IFERROR(_xlfn.XLOOKUP(Tabla1[[#This Row],[Cedula agente]],Lista!$B$2:$B$97,Lista!$G$2:$G$97)," ")</f>
        <v>Luisa Fernanda Benavides Castrillon</v>
      </c>
      <c r="AR357" s="59" t="s">
        <v>162</v>
      </c>
      <c r="AS357" s="55" t="str">
        <f>IFERROR(_xlfn.XLOOKUP(Tabla1[[#This Row],[Cedula agente]],Lista!$B$2:$B$97,Lista!$F$2:$F$97)," ")</f>
        <v>John Sebastian Roncancio Avendaño</v>
      </c>
      <c r="AT357" s="99">
        <v>0.95</v>
      </c>
      <c r="AU357" s="200">
        <f>+WEEKNUM('Score BD'!$I358)-WEEKNUM(DATE(YEAR('Score BD'!$I358),MONTH('Score BD'!$I358),1))+1</f>
        <v>5</v>
      </c>
    </row>
    <row r="358" spans="1:47" ht="17.45" customHeight="1" x14ac:dyDescent="0.3">
      <c r="A358" s="49" t="str">
        <f t="shared" si="55"/>
        <v>Ministerio de Educación Nacional</v>
      </c>
      <c r="B358" s="50">
        <f>+IFERROR(COUNTIF($J$3:J358,J358)," ")</f>
        <v>27</v>
      </c>
      <c r="C358" s="54" t="str">
        <f>+'Score BD'!$J358&amp;'Score BD'!$B358</f>
        <v>Natalia Cañón Betancourt27</v>
      </c>
      <c r="D358" s="91" t="s">
        <v>148</v>
      </c>
      <c r="E358" s="92" t="s">
        <v>164</v>
      </c>
      <c r="F358" s="92" t="s">
        <v>212</v>
      </c>
      <c r="G358" s="60" t="str">
        <f t="shared" si="56"/>
        <v>Noviembre</v>
      </c>
      <c r="H358" s="67">
        <v>45986</v>
      </c>
      <c r="I358" s="243">
        <v>45985</v>
      </c>
      <c r="J358" s="57" t="s">
        <v>181</v>
      </c>
      <c r="K358" s="54">
        <f>IFERROR(VLOOKUP('Score BD'!$J358,Lista!A:B,2,0)," ")</f>
        <v>1000383417</v>
      </c>
      <c r="L358" s="61" t="s">
        <v>621</v>
      </c>
      <c r="M358" s="59" t="s">
        <v>4</v>
      </c>
      <c r="N358" s="59" t="s">
        <v>4</v>
      </c>
      <c r="O358" s="59" t="s">
        <v>4</v>
      </c>
      <c r="P358" s="59" t="s">
        <v>4</v>
      </c>
      <c r="Q358" s="96">
        <f t="shared" si="57"/>
        <v>1</v>
      </c>
      <c r="R358" s="59" t="s">
        <v>4</v>
      </c>
      <c r="S358" s="59" t="s">
        <v>4</v>
      </c>
      <c r="T358" s="59" t="s">
        <v>4</v>
      </c>
      <c r="U358" s="59" t="s">
        <v>4</v>
      </c>
      <c r="V358" s="45">
        <f t="shared" si="58"/>
        <v>1</v>
      </c>
      <c r="W358" s="59" t="s">
        <v>4</v>
      </c>
      <c r="X358" s="59" t="s">
        <v>4</v>
      </c>
      <c r="Y358" s="59" t="s">
        <v>4</v>
      </c>
      <c r="Z358" s="59" t="s">
        <v>4</v>
      </c>
      <c r="AA358" s="59" t="s">
        <v>4</v>
      </c>
      <c r="AB358" s="59" t="s">
        <v>4</v>
      </c>
      <c r="AC358" s="45">
        <f t="shared" si="59"/>
        <v>1.000000000000002</v>
      </c>
      <c r="AD358" s="43" t="s">
        <v>4</v>
      </c>
      <c r="AE358" s="43" t="s">
        <v>4</v>
      </c>
      <c r="AF358" s="97">
        <f t="shared" si="60"/>
        <v>1</v>
      </c>
      <c r="AG358" s="44">
        <f t="shared" si="61"/>
        <v>1.0000000000000004</v>
      </c>
      <c r="AH358" s="55">
        <f t="shared" si="62"/>
        <v>0</v>
      </c>
      <c r="AI358" s="55">
        <f>COUNTIF('Score BD'!$M358:$P358,"no")</f>
        <v>0</v>
      </c>
      <c r="AJ358" s="55">
        <f t="shared" si="63"/>
        <v>0</v>
      </c>
      <c r="AK358" s="55">
        <f t="shared" si="64"/>
        <v>0</v>
      </c>
      <c r="AL358" s="55">
        <f t="shared" si="65"/>
        <v>0</v>
      </c>
      <c r="AM358" s="157" t="s">
        <v>630</v>
      </c>
      <c r="AN358" s="55"/>
      <c r="AO358" s="61"/>
      <c r="AP358" s="61"/>
      <c r="AQ358" s="59" t="str">
        <f>IFERROR(_xlfn.XLOOKUP(Tabla1[[#This Row],[Cedula agente]],Lista!$B$2:$B$97,Lista!$G$2:$G$97)," ")</f>
        <v>Luisa Fernanda Benavides Castrillon</v>
      </c>
      <c r="AR358" s="59" t="s">
        <v>162</v>
      </c>
      <c r="AS358" s="55" t="str">
        <f>IFERROR(_xlfn.XLOOKUP(Tabla1[[#This Row],[Cedula agente]],Lista!$B$2:$B$97,Lista!$F$2:$F$97)," ")</f>
        <v>John Sebastian Roncancio Avendaño</v>
      </c>
      <c r="AT358" s="99">
        <v>0.95</v>
      </c>
      <c r="AU358" s="200">
        <f>+WEEKNUM('Score BD'!$I359)-WEEKNUM(DATE(YEAR('Score BD'!$I359),MONTH('Score BD'!$I359),1))+1</f>
        <v>5</v>
      </c>
    </row>
    <row r="359" spans="1:47" ht="17.45" customHeight="1" x14ac:dyDescent="0.3">
      <c r="A359" s="49" t="str">
        <f t="shared" si="55"/>
        <v>Ministerio de Educación Nacional</v>
      </c>
      <c r="B359" s="50">
        <f>+IFERROR(COUNTIF($J$3:J359,J359)," ")</f>
        <v>28</v>
      </c>
      <c r="C359" s="54" t="str">
        <f>+'Score BD'!$J359&amp;'Score BD'!$B359</f>
        <v>Natalia Cañón Betancourt28</v>
      </c>
      <c r="D359" s="91" t="s">
        <v>148</v>
      </c>
      <c r="E359" s="92" t="s">
        <v>164</v>
      </c>
      <c r="F359" s="92" t="s">
        <v>212</v>
      </c>
      <c r="G359" s="60" t="str">
        <f t="shared" si="56"/>
        <v>Noviembre</v>
      </c>
      <c r="H359" s="67">
        <v>45986</v>
      </c>
      <c r="I359" s="243">
        <v>45985</v>
      </c>
      <c r="J359" s="57" t="s">
        <v>181</v>
      </c>
      <c r="K359" s="54">
        <f>IFERROR(VLOOKUP('Score BD'!$J359,Lista!A:B,2,0)," ")</f>
        <v>1000383417</v>
      </c>
      <c r="L359" s="61" t="s">
        <v>622</v>
      </c>
      <c r="M359" s="59" t="s">
        <v>4</v>
      </c>
      <c r="N359" s="59" t="s">
        <v>4</v>
      </c>
      <c r="O359" s="59" t="s">
        <v>4</v>
      </c>
      <c r="P359" s="59" t="s">
        <v>4</v>
      </c>
      <c r="Q359" s="96">
        <f t="shared" si="57"/>
        <v>1</v>
      </c>
      <c r="R359" s="59" t="s">
        <v>4</v>
      </c>
      <c r="S359" s="59" t="s">
        <v>4</v>
      </c>
      <c r="T359" s="59" t="s">
        <v>4</v>
      </c>
      <c r="U359" s="59" t="s">
        <v>4</v>
      </c>
      <c r="V359" s="45">
        <f t="shared" si="58"/>
        <v>1</v>
      </c>
      <c r="W359" s="59" t="s">
        <v>4</v>
      </c>
      <c r="X359" s="59" t="s">
        <v>4</v>
      </c>
      <c r="Y359" s="59" t="s">
        <v>4</v>
      </c>
      <c r="Z359" s="59" t="s">
        <v>4</v>
      </c>
      <c r="AA359" s="59" t="s">
        <v>4</v>
      </c>
      <c r="AB359" s="59" t="s">
        <v>4</v>
      </c>
      <c r="AC359" s="45">
        <f t="shared" si="59"/>
        <v>1.000000000000002</v>
      </c>
      <c r="AD359" s="43" t="s">
        <v>4</v>
      </c>
      <c r="AE359" s="43" t="s">
        <v>4</v>
      </c>
      <c r="AF359" s="97">
        <f t="shared" si="60"/>
        <v>1</v>
      </c>
      <c r="AG359" s="44">
        <f t="shared" si="61"/>
        <v>1.0000000000000004</v>
      </c>
      <c r="AH359" s="55">
        <f t="shared" si="62"/>
        <v>0</v>
      </c>
      <c r="AI359" s="55">
        <f>COUNTIF('Score BD'!$M359:$P359,"no")</f>
        <v>0</v>
      </c>
      <c r="AJ359" s="55">
        <f t="shared" si="63"/>
        <v>0</v>
      </c>
      <c r="AK359" s="55">
        <f t="shared" si="64"/>
        <v>0</v>
      </c>
      <c r="AL359" s="55">
        <f t="shared" si="65"/>
        <v>0</v>
      </c>
      <c r="AM359" s="157" t="s">
        <v>630</v>
      </c>
      <c r="AN359" s="55"/>
      <c r="AO359" s="102"/>
      <c r="AP359" s="256"/>
      <c r="AQ359" s="59" t="str">
        <f>IFERROR(_xlfn.XLOOKUP(Tabla1[[#This Row],[Cedula agente]],Lista!$B$2:$B$97,Lista!$G$2:$G$97)," ")</f>
        <v>Luisa Fernanda Benavides Castrillon</v>
      </c>
      <c r="AR359" s="59" t="s">
        <v>162</v>
      </c>
      <c r="AS359" s="55" t="str">
        <f>IFERROR(_xlfn.XLOOKUP(Tabla1[[#This Row],[Cedula agente]],Lista!$B$2:$B$97,Lista!$F$2:$F$97)," ")</f>
        <v>John Sebastian Roncancio Avendaño</v>
      </c>
      <c r="AT359" s="99">
        <v>0.95</v>
      </c>
      <c r="AU359" s="200">
        <f>+WEEKNUM('Score BD'!$I360)-WEEKNUM(DATE(YEAR('Score BD'!$I360),MONTH('Score BD'!$I360),1))+1</f>
        <v>5</v>
      </c>
    </row>
    <row r="360" spans="1:47" ht="17.45" customHeight="1" x14ac:dyDescent="0.3">
      <c r="A360" s="49" t="str">
        <f t="shared" si="55"/>
        <v>Ministerio de Educación Nacional</v>
      </c>
      <c r="B360" s="50">
        <f>+IFERROR(COUNTIF($J$3:J360,J360)," ")</f>
        <v>14</v>
      </c>
      <c r="C360" s="54" t="str">
        <f>+'Score BD'!$J360&amp;'Score BD'!$B360</f>
        <v>Valentina Castillo Rondón14</v>
      </c>
      <c r="D360" s="91" t="s">
        <v>148</v>
      </c>
      <c r="E360" s="92" t="s">
        <v>165</v>
      </c>
      <c r="F360" s="92" t="s">
        <v>212</v>
      </c>
      <c r="G360" s="60" t="str">
        <f t="shared" si="56"/>
        <v>Noviembre</v>
      </c>
      <c r="H360" s="67">
        <v>45986</v>
      </c>
      <c r="I360" s="243">
        <v>45985</v>
      </c>
      <c r="J360" s="57" t="s">
        <v>183</v>
      </c>
      <c r="K360" s="54">
        <f>IFERROR(VLOOKUP('Score BD'!$J360,Lista!A:B,2,0)," ")</f>
        <v>1121950095</v>
      </c>
      <c r="L360" s="61" t="s">
        <v>623</v>
      </c>
      <c r="M360" s="59" t="s">
        <v>4</v>
      </c>
      <c r="N360" s="59" t="s">
        <v>4</v>
      </c>
      <c r="O360" s="59" t="s">
        <v>4</v>
      </c>
      <c r="P360" s="59" t="s">
        <v>4</v>
      </c>
      <c r="Q360" s="96">
        <f t="shared" si="57"/>
        <v>1</v>
      </c>
      <c r="R360" s="59" t="s">
        <v>4</v>
      </c>
      <c r="S360" s="59" t="s">
        <v>4</v>
      </c>
      <c r="T360" s="59" t="s">
        <v>4</v>
      </c>
      <c r="U360" s="59" t="s">
        <v>4</v>
      </c>
      <c r="V360" s="45">
        <f t="shared" si="58"/>
        <v>1</v>
      </c>
      <c r="W360" s="59" t="s">
        <v>4</v>
      </c>
      <c r="X360" s="59" t="s">
        <v>4</v>
      </c>
      <c r="Y360" s="59" t="s">
        <v>4</v>
      </c>
      <c r="Z360" s="59" t="s">
        <v>4</v>
      </c>
      <c r="AA360" s="59" t="s">
        <v>4</v>
      </c>
      <c r="AB360" s="59" t="s">
        <v>4</v>
      </c>
      <c r="AC360" s="45">
        <f t="shared" si="59"/>
        <v>1.000000000000002</v>
      </c>
      <c r="AD360" s="43" t="s">
        <v>4</v>
      </c>
      <c r="AE360" s="43" t="s">
        <v>4</v>
      </c>
      <c r="AF360" s="97">
        <f t="shared" si="60"/>
        <v>1</v>
      </c>
      <c r="AG360" s="44">
        <f t="shared" si="61"/>
        <v>1.0000000000000004</v>
      </c>
      <c r="AH360" s="55">
        <f t="shared" si="62"/>
        <v>0</v>
      </c>
      <c r="AI360" s="55">
        <f>COUNTIF('Score BD'!$M360:$P360,"no")</f>
        <v>0</v>
      </c>
      <c r="AJ360" s="55">
        <f t="shared" si="63"/>
        <v>0</v>
      </c>
      <c r="AK360" s="55">
        <f t="shared" si="64"/>
        <v>0</v>
      </c>
      <c r="AL360" s="55">
        <f t="shared" si="65"/>
        <v>0</v>
      </c>
      <c r="AM360" s="157" t="s">
        <v>630</v>
      </c>
      <c r="AN360" s="55"/>
      <c r="AO360" s="61"/>
      <c r="AP360" s="61"/>
      <c r="AQ360" s="59" t="str">
        <f>IFERROR(_xlfn.XLOOKUP(Tabla1[[#This Row],[Cedula agente]],Lista!$B$2:$B$97,Lista!$G$2:$G$97)," ")</f>
        <v>Luisa Fernanda Benavides Castrillon</v>
      </c>
      <c r="AR360" s="59" t="s">
        <v>162</v>
      </c>
      <c r="AS360" s="55" t="str">
        <f>IFERROR(_xlfn.XLOOKUP(Tabla1[[#This Row],[Cedula agente]],Lista!$B$2:$B$97,Lista!$F$2:$F$97)," ")</f>
        <v>John Sebastian Roncancio Avendaño</v>
      </c>
      <c r="AT360" s="99">
        <v>0.95</v>
      </c>
      <c r="AU360" s="200">
        <f>+WEEKNUM('Score BD'!$I361)-WEEKNUM(DATE(YEAR('Score BD'!$I361),MONTH('Score BD'!$I361),1))+1</f>
        <v>5</v>
      </c>
    </row>
    <row r="361" spans="1:47" ht="17.45" customHeight="1" x14ac:dyDescent="0.3">
      <c r="A361" s="49" t="str">
        <f t="shared" si="55"/>
        <v>Ministerio de Educación Nacional</v>
      </c>
      <c r="B361" s="50">
        <f>+IFERROR(COUNTIF($J$3:J361,J361)," ")</f>
        <v>15</v>
      </c>
      <c r="C361" s="54" t="str">
        <f>+'Score BD'!$J361&amp;'Score BD'!$B361</f>
        <v>Valentina Castillo Rondón15</v>
      </c>
      <c r="D361" s="91" t="s">
        <v>148</v>
      </c>
      <c r="E361" s="92" t="s">
        <v>165</v>
      </c>
      <c r="F361" s="92" t="s">
        <v>212</v>
      </c>
      <c r="G361" s="60" t="str">
        <f t="shared" si="56"/>
        <v>Noviembre</v>
      </c>
      <c r="H361" s="67">
        <v>45986</v>
      </c>
      <c r="I361" s="243">
        <v>45985</v>
      </c>
      <c r="J361" s="57" t="s">
        <v>183</v>
      </c>
      <c r="K361" s="54">
        <f>IFERROR(VLOOKUP('Score BD'!$J361,Lista!A:B,2,0)," ")</f>
        <v>1121950095</v>
      </c>
      <c r="L361" s="61" t="s">
        <v>624</v>
      </c>
      <c r="M361" s="59" t="s">
        <v>4</v>
      </c>
      <c r="N361" s="59" t="s">
        <v>4</v>
      </c>
      <c r="O361" s="59" t="s">
        <v>4</v>
      </c>
      <c r="P361" s="59" t="s">
        <v>4</v>
      </c>
      <c r="Q361" s="96">
        <f t="shared" si="57"/>
        <v>1</v>
      </c>
      <c r="R361" s="59" t="s">
        <v>4</v>
      </c>
      <c r="S361" s="59" t="s">
        <v>4</v>
      </c>
      <c r="T361" s="59" t="s">
        <v>4</v>
      </c>
      <c r="U361" s="59" t="s">
        <v>4</v>
      </c>
      <c r="V361" s="45">
        <f t="shared" si="58"/>
        <v>1</v>
      </c>
      <c r="W361" s="59" t="s">
        <v>4</v>
      </c>
      <c r="X361" s="59" t="s">
        <v>4</v>
      </c>
      <c r="Y361" s="59" t="s">
        <v>4</v>
      </c>
      <c r="Z361" s="59" t="s">
        <v>4</v>
      </c>
      <c r="AA361" s="59" t="s">
        <v>4</v>
      </c>
      <c r="AB361" s="59" t="s">
        <v>4</v>
      </c>
      <c r="AC361" s="45">
        <f t="shared" si="59"/>
        <v>1.000000000000002</v>
      </c>
      <c r="AD361" s="43" t="s">
        <v>4</v>
      </c>
      <c r="AE361" s="43" t="s">
        <v>4</v>
      </c>
      <c r="AF361" s="97">
        <f t="shared" si="60"/>
        <v>1</v>
      </c>
      <c r="AG361" s="44">
        <f t="shared" si="61"/>
        <v>1.0000000000000004</v>
      </c>
      <c r="AH361" s="55">
        <f t="shared" si="62"/>
        <v>0</v>
      </c>
      <c r="AI361" s="55">
        <f>COUNTIF('Score BD'!$M361:$P361,"no")</f>
        <v>0</v>
      </c>
      <c r="AJ361" s="55">
        <f t="shared" si="63"/>
        <v>0</v>
      </c>
      <c r="AK361" s="55">
        <f t="shared" si="64"/>
        <v>0</v>
      </c>
      <c r="AL361" s="55">
        <f t="shared" si="65"/>
        <v>0</v>
      </c>
      <c r="AM361" s="157" t="s">
        <v>630</v>
      </c>
      <c r="AN361" s="55"/>
      <c r="AO361" s="61"/>
      <c r="AP361" s="61"/>
      <c r="AQ361" s="59" t="str">
        <f>IFERROR(_xlfn.XLOOKUP(Tabla1[[#This Row],[Cedula agente]],Lista!$B$2:$B$97,Lista!$G$2:$G$97)," ")</f>
        <v>Luisa Fernanda Benavides Castrillon</v>
      </c>
      <c r="AR361" s="59" t="s">
        <v>162</v>
      </c>
      <c r="AS361" s="55" t="str">
        <f>IFERROR(_xlfn.XLOOKUP(Tabla1[[#This Row],[Cedula agente]],Lista!$B$2:$B$97,Lista!$F$2:$F$97)," ")</f>
        <v>John Sebastian Roncancio Avendaño</v>
      </c>
      <c r="AT361" s="99">
        <v>0.95</v>
      </c>
      <c r="AU361" s="200">
        <f>+WEEKNUM('Score BD'!$I362)-WEEKNUM(DATE(YEAR('Score BD'!$I362),MONTH('Score BD'!$I362),1))+1</f>
        <v>5</v>
      </c>
    </row>
    <row r="362" spans="1:47" ht="17.45" customHeight="1" x14ac:dyDescent="0.3">
      <c r="A362" s="49" t="str">
        <f t="shared" si="55"/>
        <v>Ministerio de Educación Nacional</v>
      </c>
      <c r="B362" s="50">
        <f>+IFERROR(COUNTIF($J$3:J362,J362)," ")</f>
        <v>16</v>
      </c>
      <c r="C362" s="54" t="str">
        <f>+'Score BD'!$J362&amp;'Score BD'!$B362</f>
        <v>Yenny Maribel Duran Ovejero16</v>
      </c>
      <c r="D362" s="91" t="s">
        <v>148</v>
      </c>
      <c r="E362" s="92" t="s">
        <v>165</v>
      </c>
      <c r="F362" s="92" t="s">
        <v>212</v>
      </c>
      <c r="G362" s="60" t="str">
        <f t="shared" si="56"/>
        <v>Noviembre</v>
      </c>
      <c r="H362" s="67">
        <v>45986</v>
      </c>
      <c r="I362" s="243">
        <v>45985</v>
      </c>
      <c r="J362" s="57" t="s">
        <v>206</v>
      </c>
      <c r="K362" s="54">
        <f>IFERROR(VLOOKUP('Score BD'!$J362,Lista!A:B,2,0)," ")</f>
        <v>52962387</v>
      </c>
      <c r="L362" s="61" t="s">
        <v>625</v>
      </c>
      <c r="M362" s="59" t="s">
        <v>4</v>
      </c>
      <c r="N362" s="59" t="s">
        <v>4</v>
      </c>
      <c r="O362" s="59" t="s">
        <v>4</v>
      </c>
      <c r="P362" s="59" t="s">
        <v>4</v>
      </c>
      <c r="Q362" s="96">
        <f t="shared" si="57"/>
        <v>1</v>
      </c>
      <c r="R362" s="59" t="s">
        <v>4</v>
      </c>
      <c r="S362" s="59" t="s">
        <v>4</v>
      </c>
      <c r="T362" s="59" t="s">
        <v>4</v>
      </c>
      <c r="U362" s="59" t="s">
        <v>4</v>
      </c>
      <c r="V362" s="45">
        <f t="shared" si="58"/>
        <v>1</v>
      </c>
      <c r="W362" s="59" t="s">
        <v>4</v>
      </c>
      <c r="X362" s="59" t="s">
        <v>4</v>
      </c>
      <c r="Y362" s="59" t="s">
        <v>4</v>
      </c>
      <c r="Z362" s="59" t="s">
        <v>4</v>
      </c>
      <c r="AA362" s="59" t="s">
        <v>4</v>
      </c>
      <c r="AB362" s="59" t="s">
        <v>4</v>
      </c>
      <c r="AC362" s="45">
        <f t="shared" si="59"/>
        <v>1.000000000000002</v>
      </c>
      <c r="AD362" s="43" t="s">
        <v>4</v>
      </c>
      <c r="AE362" s="43" t="s">
        <v>4</v>
      </c>
      <c r="AF362" s="97">
        <f t="shared" si="60"/>
        <v>1</v>
      </c>
      <c r="AG362" s="44">
        <f t="shared" si="61"/>
        <v>1.0000000000000004</v>
      </c>
      <c r="AH362" s="55">
        <f t="shared" si="62"/>
        <v>0</v>
      </c>
      <c r="AI362" s="55">
        <f>COUNTIF('Score BD'!$M362:$P362,"no")</f>
        <v>0</v>
      </c>
      <c r="AJ362" s="55">
        <f t="shared" si="63"/>
        <v>0</v>
      </c>
      <c r="AK362" s="55">
        <f t="shared" si="64"/>
        <v>0</v>
      </c>
      <c r="AL362" s="55">
        <f t="shared" si="65"/>
        <v>0</v>
      </c>
      <c r="AM362" s="157" t="s">
        <v>630</v>
      </c>
      <c r="AN362" s="55"/>
      <c r="AO362" s="61"/>
      <c r="AP362" s="61"/>
      <c r="AQ362" s="59" t="str">
        <f>IFERROR(_xlfn.XLOOKUP(Tabla1[[#This Row],[Cedula agente]],Lista!$B$2:$B$97,Lista!$G$2:$G$97)," ")</f>
        <v>Luisa Fernanda Benavides Castrillon</v>
      </c>
      <c r="AR362" s="59" t="s">
        <v>162</v>
      </c>
      <c r="AS362" s="55" t="str">
        <f>IFERROR(_xlfn.XLOOKUP(Tabla1[[#This Row],[Cedula agente]],Lista!$B$2:$B$97,Lista!$F$2:$F$97)," ")</f>
        <v>John Sebastian Roncancio Avendaño</v>
      </c>
      <c r="AT362" s="99">
        <v>0.95</v>
      </c>
      <c r="AU362" s="200">
        <f>+WEEKNUM('Score BD'!$I363)-WEEKNUM(DATE(YEAR('Score BD'!$I363),MONTH('Score BD'!$I363),1))+1</f>
        <v>5</v>
      </c>
    </row>
    <row r="363" spans="1:47" ht="17.45" customHeight="1" x14ac:dyDescent="0.3">
      <c r="A363" s="49" t="str">
        <f t="shared" si="55"/>
        <v>Ministerio de Educación Nacional</v>
      </c>
      <c r="B363" s="50">
        <f>+IFERROR(COUNTIF($J$3:J363,J363)," ")</f>
        <v>14</v>
      </c>
      <c r="C363" s="54" t="str">
        <f>+'Score BD'!$J363&amp;'Score BD'!$B363</f>
        <v>Cesar Rodrigo García14</v>
      </c>
      <c r="D363" s="91" t="s">
        <v>148</v>
      </c>
      <c r="E363" s="92" t="s">
        <v>165</v>
      </c>
      <c r="F363" s="92" t="s">
        <v>212</v>
      </c>
      <c r="G363" s="60" t="str">
        <f t="shared" si="56"/>
        <v>Noviembre</v>
      </c>
      <c r="H363" s="67">
        <v>45986</v>
      </c>
      <c r="I363" s="243">
        <v>45985</v>
      </c>
      <c r="J363" s="57" t="s">
        <v>172</v>
      </c>
      <c r="K363" s="54">
        <f>IFERROR(VLOOKUP('Score BD'!$J363,Lista!A:B,2,0)," ")</f>
        <v>1069257937</v>
      </c>
      <c r="L363" s="61" t="s">
        <v>631</v>
      </c>
      <c r="M363" s="59" t="s">
        <v>4</v>
      </c>
      <c r="N363" s="59" t="s">
        <v>4</v>
      </c>
      <c r="O363" s="59" t="s">
        <v>4</v>
      </c>
      <c r="P363" s="59" t="s">
        <v>4</v>
      </c>
      <c r="Q363" s="96">
        <f t="shared" si="57"/>
        <v>1</v>
      </c>
      <c r="R363" s="59" t="s">
        <v>4</v>
      </c>
      <c r="S363" s="59" t="s">
        <v>4</v>
      </c>
      <c r="T363" s="59" t="s">
        <v>4</v>
      </c>
      <c r="U363" s="59" t="s">
        <v>4</v>
      </c>
      <c r="V363" s="45">
        <f t="shared" si="58"/>
        <v>1</v>
      </c>
      <c r="W363" s="59" t="s">
        <v>4</v>
      </c>
      <c r="X363" s="59" t="s">
        <v>4</v>
      </c>
      <c r="Y363" s="59" t="s">
        <v>4</v>
      </c>
      <c r="Z363" s="59" t="s">
        <v>4</v>
      </c>
      <c r="AA363" s="59" t="s">
        <v>4</v>
      </c>
      <c r="AB363" s="59" t="s">
        <v>4</v>
      </c>
      <c r="AC363" s="45">
        <f t="shared" si="59"/>
        <v>1.000000000000002</v>
      </c>
      <c r="AD363" s="43" t="s">
        <v>4</v>
      </c>
      <c r="AE363" s="43" t="s">
        <v>4</v>
      </c>
      <c r="AF363" s="97">
        <f t="shared" si="60"/>
        <v>1</v>
      </c>
      <c r="AG363" s="44">
        <f t="shared" si="61"/>
        <v>1.0000000000000004</v>
      </c>
      <c r="AH363" s="55">
        <f t="shared" si="62"/>
        <v>0</v>
      </c>
      <c r="AI363" s="55">
        <f>COUNTIF('Score BD'!$M363:$P363,"no")</f>
        <v>0</v>
      </c>
      <c r="AJ363" s="55">
        <f t="shared" si="63"/>
        <v>0</v>
      </c>
      <c r="AK363" s="55">
        <f t="shared" si="64"/>
        <v>0</v>
      </c>
      <c r="AL363" s="55">
        <f t="shared" si="65"/>
        <v>0</v>
      </c>
      <c r="AM363" s="157" t="s">
        <v>630</v>
      </c>
      <c r="AN363" s="55"/>
      <c r="AO363" s="61"/>
      <c r="AP363" s="61"/>
      <c r="AQ363" s="59" t="str">
        <f>IFERROR(_xlfn.XLOOKUP(Tabla1[[#This Row],[Cedula agente]],Lista!$B$2:$B$97,Lista!$G$2:$G$97)," ")</f>
        <v>Luisa Fernanda Benavides Castrillon</v>
      </c>
      <c r="AR363" s="59" t="s">
        <v>162</v>
      </c>
      <c r="AS363" s="55" t="str">
        <f>IFERROR(_xlfn.XLOOKUP(Tabla1[[#This Row],[Cedula agente]],Lista!$B$2:$B$97,Lista!$F$2:$F$97)," ")</f>
        <v>John Sebastian Roncancio Avendaño</v>
      </c>
      <c r="AT363" s="99">
        <v>0.95</v>
      </c>
      <c r="AU363" s="200">
        <f>+WEEKNUM('Score BD'!$I364)-WEEKNUM(DATE(YEAR('Score BD'!$I364),MONTH('Score BD'!$I364),1))+1</f>
        <v>5</v>
      </c>
    </row>
    <row r="364" spans="1:47" ht="17.45" customHeight="1" x14ac:dyDescent="0.3">
      <c r="A364" s="49" t="str">
        <f t="shared" si="55"/>
        <v>Ministerio de Educación Nacional</v>
      </c>
      <c r="B364" s="50">
        <f>+IFERROR(COUNTIF($J$3:J364,J364)," ")</f>
        <v>40</v>
      </c>
      <c r="C364" s="54" t="str">
        <f>+'Score BD'!$J364&amp;'Score BD'!$B364</f>
        <v>Ana Graciela Barbosa Villalobos40</v>
      </c>
      <c r="D364" s="91" t="s">
        <v>148</v>
      </c>
      <c r="E364" s="92" t="s">
        <v>210</v>
      </c>
      <c r="F364" s="92" t="s">
        <v>212</v>
      </c>
      <c r="G364" s="60" t="str">
        <f t="shared" si="56"/>
        <v>Noviembre</v>
      </c>
      <c r="H364" s="205">
        <v>45987</v>
      </c>
      <c r="I364" s="243">
        <v>45986</v>
      </c>
      <c r="J364" s="57" t="s">
        <v>171</v>
      </c>
      <c r="K364" s="54">
        <f>IFERROR(VLOOKUP('Score BD'!$J364,Lista!A:B,2,0)," ")</f>
        <v>1026264261</v>
      </c>
      <c r="L364" s="61" t="s">
        <v>632</v>
      </c>
      <c r="M364" s="59" t="s">
        <v>4</v>
      </c>
      <c r="N364" s="59" t="s">
        <v>4</v>
      </c>
      <c r="O364" s="59" t="s">
        <v>4</v>
      </c>
      <c r="P364" s="59" t="s">
        <v>4</v>
      </c>
      <c r="Q364" s="96">
        <f t="shared" si="57"/>
        <v>1</v>
      </c>
      <c r="R364" s="59" t="s">
        <v>4</v>
      </c>
      <c r="S364" s="59" t="s">
        <v>4</v>
      </c>
      <c r="T364" s="59" t="s">
        <v>4</v>
      </c>
      <c r="U364" s="59" t="s">
        <v>4</v>
      </c>
      <c r="V364" s="45">
        <f t="shared" si="58"/>
        <v>1</v>
      </c>
      <c r="W364" s="59" t="s">
        <v>4</v>
      </c>
      <c r="X364" s="59" t="s">
        <v>4</v>
      </c>
      <c r="Y364" s="59" t="s">
        <v>4</v>
      </c>
      <c r="Z364" s="59" t="s">
        <v>4</v>
      </c>
      <c r="AA364" s="59" t="s">
        <v>4</v>
      </c>
      <c r="AB364" s="59" t="s">
        <v>4</v>
      </c>
      <c r="AC364" s="45">
        <f t="shared" si="59"/>
        <v>1.000000000000002</v>
      </c>
      <c r="AD364" s="43" t="s">
        <v>4</v>
      </c>
      <c r="AE364" s="43" t="s">
        <v>4</v>
      </c>
      <c r="AF364" s="97">
        <f t="shared" si="60"/>
        <v>1</v>
      </c>
      <c r="AG364" s="44">
        <f t="shared" si="61"/>
        <v>1.0000000000000004</v>
      </c>
      <c r="AH364" s="55">
        <f t="shared" si="62"/>
        <v>0</v>
      </c>
      <c r="AI364" s="55">
        <f>COUNTIF('Score BD'!$M364:$P364,"no")</f>
        <v>0</v>
      </c>
      <c r="AJ364" s="55">
        <f t="shared" si="63"/>
        <v>0</v>
      </c>
      <c r="AK364" s="55">
        <f t="shared" si="64"/>
        <v>0</v>
      </c>
      <c r="AL364" s="55">
        <f t="shared" si="65"/>
        <v>0</v>
      </c>
      <c r="AM364" s="157" t="s">
        <v>715</v>
      </c>
      <c r="AN364" s="55"/>
      <c r="AO364" s="61"/>
      <c r="AP364" s="61"/>
      <c r="AQ364" s="59" t="str">
        <f>IFERROR(_xlfn.XLOOKUP(Tabla1[[#This Row],[Cedula agente]],Lista!$B$2:$B$97,Lista!$G$2:$G$97)," ")</f>
        <v>Luisa Fernanda Benavides Castrillon</v>
      </c>
      <c r="AR364" s="59" t="s">
        <v>162</v>
      </c>
      <c r="AS364" s="55" t="str">
        <f>IFERROR(_xlfn.XLOOKUP(Tabla1[[#This Row],[Cedula agente]],Lista!$B$2:$B$97,Lista!$F$2:$F$97)," ")</f>
        <v>John Sebastian Roncancio Avendaño</v>
      </c>
      <c r="AT364" s="99">
        <v>0.95</v>
      </c>
      <c r="AU364" s="200">
        <f>+WEEKNUM('Score BD'!$I365)-WEEKNUM(DATE(YEAR('Score BD'!$I365),MONTH('Score BD'!$I365),1))+1</f>
        <v>5</v>
      </c>
    </row>
    <row r="365" spans="1:47" ht="17.45" customHeight="1" x14ac:dyDescent="0.3">
      <c r="A365" s="49" t="str">
        <f t="shared" si="55"/>
        <v>Ministerio de Educación Nacional</v>
      </c>
      <c r="B365" s="50">
        <f>+IFERROR(COUNTIF($J$3:J365,J365)," ")</f>
        <v>41</v>
      </c>
      <c r="C365" s="54" t="str">
        <f>+'Score BD'!$J365&amp;'Score BD'!$B365</f>
        <v>Ana Graciela Barbosa Villalobos41</v>
      </c>
      <c r="D365" s="91" t="s">
        <v>148</v>
      </c>
      <c r="E365" s="92" t="s">
        <v>210</v>
      </c>
      <c r="F365" s="92" t="s">
        <v>212</v>
      </c>
      <c r="G365" s="60" t="str">
        <f t="shared" si="56"/>
        <v>Noviembre</v>
      </c>
      <c r="H365" s="205">
        <v>45987</v>
      </c>
      <c r="I365" s="243">
        <v>45986</v>
      </c>
      <c r="J365" s="57" t="s">
        <v>171</v>
      </c>
      <c r="K365" s="54">
        <f>IFERROR(VLOOKUP('Score BD'!$J365,Lista!A:B,2,0)," ")</f>
        <v>1026264261</v>
      </c>
      <c r="L365" s="61" t="s">
        <v>633</v>
      </c>
      <c r="M365" s="59" t="s">
        <v>4</v>
      </c>
      <c r="N365" s="59" t="s">
        <v>4</v>
      </c>
      <c r="O365" s="59" t="s">
        <v>4</v>
      </c>
      <c r="P365" s="59" t="s">
        <v>4</v>
      </c>
      <c r="Q365" s="96">
        <f t="shared" si="57"/>
        <v>1</v>
      </c>
      <c r="R365" s="59" t="s">
        <v>4</v>
      </c>
      <c r="S365" s="59" t="s">
        <v>4</v>
      </c>
      <c r="T365" s="59" t="s">
        <v>4</v>
      </c>
      <c r="U365" s="59" t="s">
        <v>4</v>
      </c>
      <c r="V365" s="45">
        <f t="shared" si="58"/>
        <v>1</v>
      </c>
      <c r="W365" s="59" t="s">
        <v>4</v>
      </c>
      <c r="X365" s="59" t="s">
        <v>4</v>
      </c>
      <c r="Y365" s="59" t="s">
        <v>4</v>
      </c>
      <c r="Z365" s="59" t="s">
        <v>4</v>
      </c>
      <c r="AA365" s="59" t="s">
        <v>4</v>
      </c>
      <c r="AB365" s="59" t="s">
        <v>4</v>
      </c>
      <c r="AC365" s="45">
        <f t="shared" si="59"/>
        <v>1.000000000000002</v>
      </c>
      <c r="AD365" s="43" t="s">
        <v>4</v>
      </c>
      <c r="AE365" s="43" t="s">
        <v>4</v>
      </c>
      <c r="AF365" s="97">
        <f t="shared" si="60"/>
        <v>1</v>
      </c>
      <c r="AG365" s="44">
        <f t="shared" si="61"/>
        <v>1.0000000000000004</v>
      </c>
      <c r="AH365" s="55">
        <f t="shared" si="62"/>
        <v>0</v>
      </c>
      <c r="AI365" s="55">
        <f>COUNTIF('Score BD'!$M365:$P365,"no")</f>
        <v>0</v>
      </c>
      <c r="AJ365" s="55">
        <f t="shared" si="63"/>
        <v>0</v>
      </c>
      <c r="AK365" s="55">
        <f t="shared" si="64"/>
        <v>0</v>
      </c>
      <c r="AL365" s="55">
        <f t="shared" si="65"/>
        <v>0</v>
      </c>
      <c r="AM365" s="157" t="s">
        <v>715</v>
      </c>
      <c r="AN365" s="55"/>
      <c r="AO365" s="61"/>
      <c r="AP365" s="61"/>
      <c r="AQ365" s="59" t="str">
        <f>IFERROR(_xlfn.XLOOKUP(Tabla1[[#This Row],[Cedula agente]],Lista!$B$2:$B$97,Lista!$G$2:$G$97)," ")</f>
        <v>Luisa Fernanda Benavides Castrillon</v>
      </c>
      <c r="AR365" s="59" t="s">
        <v>162</v>
      </c>
      <c r="AS365" s="55" t="str">
        <f>IFERROR(_xlfn.XLOOKUP(Tabla1[[#This Row],[Cedula agente]],Lista!$B$2:$B$97,Lista!$F$2:$F$97)," ")</f>
        <v>John Sebastian Roncancio Avendaño</v>
      </c>
      <c r="AT365" s="99">
        <v>0.95</v>
      </c>
      <c r="AU365" s="200">
        <f>+WEEKNUM('Score BD'!$I366)-WEEKNUM(DATE(YEAR('Score BD'!$I366),MONTH('Score BD'!$I366),1))+1</f>
        <v>5</v>
      </c>
    </row>
    <row r="366" spans="1:47" ht="17.45" customHeight="1" x14ac:dyDescent="0.3">
      <c r="A366" s="49" t="str">
        <f t="shared" si="55"/>
        <v>Ministerio de Educación Nacional</v>
      </c>
      <c r="B366" s="50">
        <f>+IFERROR(COUNTIF($J$3:J366,J366)," ")</f>
        <v>42</v>
      </c>
      <c r="C366" s="54" t="str">
        <f>+'Score BD'!$J366&amp;'Score BD'!$B366</f>
        <v>Ana Graciela Barbosa Villalobos42</v>
      </c>
      <c r="D366" s="91" t="s">
        <v>148</v>
      </c>
      <c r="E366" s="92" t="s">
        <v>210</v>
      </c>
      <c r="F366" s="92" t="s">
        <v>212</v>
      </c>
      <c r="G366" s="60" t="str">
        <f t="shared" si="56"/>
        <v>Noviembre</v>
      </c>
      <c r="H366" s="205">
        <v>45987</v>
      </c>
      <c r="I366" s="243">
        <v>45986</v>
      </c>
      <c r="J366" s="57" t="s">
        <v>171</v>
      </c>
      <c r="K366" s="54">
        <f>IFERROR(VLOOKUP('Score BD'!$J366,Lista!A:B,2,0)," ")</f>
        <v>1026264261</v>
      </c>
      <c r="L366" s="61" t="s">
        <v>634</v>
      </c>
      <c r="M366" s="59" t="s">
        <v>4</v>
      </c>
      <c r="N366" s="59" t="s">
        <v>4</v>
      </c>
      <c r="O366" s="59" t="s">
        <v>4</v>
      </c>
      <c r="P366" s="59" t="s">
        <v>4</v>
      </c>
      <c r="Q366" s="96">
        <f t="shared" si="57"/>
        <v>1</v>
      </c>
      <c r="R366" s="59" t="s">
        <v>4</v>
      </c>
      <c r="S366" s="59" t="s">
        <v>4</v>
      </c>
      <c r="T366" s="59" t="s">
        <v>4</v>
      </c>
      <c r="U366" s="59" t="s">
        <v>4</v>
      </c>
      <c r="V366" s="45">
        <f t="shared" si="58"/>
        <v>1</v>
      </c>
      <c r="W366" s="59" t="s">
        <v>4</v>
      </c>
      <c r="X366" s="59" t="s">
        <v>4</v>
      </c>
      <c r="Y366" s="59" t="s">
        <v>4</v>
      </c>
      <c r="Z366" s="59" t="s">
        <v>4</v>
      </c>
      <c r="AA366" s="59" t="s">
        <v>4</v>
      </c>
      <c r="AB366" s="59" t="s">
        <v>4</v>
      </c>
      <c r="AC366" s="45">
        <f t="shared" si="59"/>
        <v>1.000000000000002</v>
      </c>
      <c r="AD366" s="43" t="s">
        <v>4</v>
      </c>
      <c r="AE366" s="43" t="s">
        <v>4</v>
      </c>
      <c r="AF366" s="97">
        <f t="shared" si="60"/>
        <v>1</v>
      </c>
      <c r="AG366" s="44">
        <f t="shared" si="61"/>
        <v>1.0000000000000004</v>
      </c>
      <c r="AH366" s="55">
        <f t="shared" si="62"/>
        <v>0</v>
      </c>
      <c r="AI366" s="55">
        <f>COUNTIF('Score BD'!$M366:$P366,"no")</f>
        <v>0</v>
      </c>
      <c r="AJ366" s="55">
        <f t="shared" si="63"/>
        <v>0</v>
      </c>
      <c r="AK366" s="55">
        <f t="shared" si="64"/>
        <v>0</v>
      </c>
      <c r="AL366" s="55">
        <f t="shared" si="65"/>
        <v>0</v>
      </c>
      <c r="AM366" s="157" t="s">
        <v>715</v>
      </c>
      <c r="AN366" s="55"/>
      <c r="AO366" s="61"/>
      <c r="AP366" s="61"/>
      <c r="AQ366" s="59" t="str">
        <f>IFERROR(_xlfn.XLOOKUP(Tabla1[[#This Row],[Cedula agente]],Lista!$B$2:$B$97,Lista!$G$2:$G$97)," ")</f>
        <v>Luisa Fernanda Benavides Castrillon</v>
      </c>
      <c r="AR366" s="59" t="s">
        <v>162</v>
      </c>
      <c r="AS366" s="55" t="str">
        <f>IFERROR(_xlfn.XLOOKUP(Tabla1[[#This Row],[Cedula agente]],Lista!$B$2:$B$97,Lista!$F$2:$F$97)," ")</f>
        <v>John Sebastian Roncancio Avendaño</v>
      </c>
      <c r="AT366" s="99">
        <v>0.95</v>
      </c>
      <c r="AU366" s="200">
        <f>+WEEKNUM('Score BD'!$I367)-WEEKNUM(DATE(YEAR('Score BD'!$I367),MONTH('Score BD'!$I367),1))+1</f>
        <v>5</v>
      </c>
    </row>
    <row r="367" spans="1:47" ht="17.45" customHeight="1" x14ac:dyDescent="0.3">
      <c r="A367" s="49" t="str">
        <f t="shared" si="55"/>
        <v>Ministerio de Educación Nacional</v>
      </c>
      <c r="B367" s="50">
        <f>+IFERROR(COUNTIF($J$3:J367,J367)," ")</f>
        <v>12</v>
      </c>
      <c r="C367" s="54" t="str">
        <f>+'Score BD'!$J367&amp;'Score BD'!$B367</f>
        <v>Andrés Felipe Silva Martínez12</v>
      </c>
      <c r="D367" s="91" t="s">
        <v>148</v>
      </c>
      <c r="E367" s="92" t="s">
        <v>208</v>
      </c>
      <c r="F367" s="92" t="s">
        <v>212</v>
      </c>
      <c r="G367" s="60" t="str">
        <f t="shared" si="56"/>
        <v>Noviembre</v>
      </c>
      <c r="H367" s="205">
        <v>45987</v>
      </c>
      <c r="I367" s="243">
        <v>45986</v>
      </c>
      <c r="J367" s="57" t="s">
        <v>228</v>
      </c>
      <c r="K367" s="54">
        <f>IFERROR(VLOOKUP('Score BD'!$J367,Lista!A:B,2,0)," ")</f>
        <v>1120362660</v>
      </c>
      <c r="L367" s="61" t="s">
        <v>449</v>
      </c>
      <c r="M367" s="59" t="s">
        <v>4</v>
      </c>
      <c r="N367" s="59" t="s">
        <v>4</v>
      </c>
      <c r="O367" s="59" t="s">
        <v>4</v>
      </c>
      <c r="P367" s="59" t="s">
        <v>4</v>
      </c>
      <c r="Q367" s="96">
        <f t="shared" si="57"/>
        <v>1</v>
      </c>
      <c r="R367" s="59" t="s">
        <v>4</v>
      </c>
      <c r="S367" s="59" t="s">
        <v>4</v>
      </c>
      <c r="T367" s="59" t="s">
        <v>4</v>
      </c>
      <c r="U367" s="59" t="s">
        <v>4</v>
      </c>
      <c r="V367" s="45">
        <f t="shared" si="58"/>
        <v>1</v>
      </c>
      <c r="W367" s="59" t="s">
        <v>4</v>
      </c>
      <c r="X367" s="59" t="s">
        <v>4</v>
      </c>
      <c r="Y367" s="59" t="s">
        <v>4</v>
      </c>
      <c r="Z367" s="59" t="s">
        <v>4</v>
      </c>
      <c r="AA367" s="59" t="s">
        <v>4</v>
      </c>
      <c r="AB367" s="59" t="s">
        <v>4</v>
      </c>
      <c r="AC367" s="45">
        <f t="shared" si="59"/>
        <v>1.000000000000002</v>
      </c>
      <c r="AD367" s="43" t="s">
        <v>4</v>
      </c>
      <c r="AE367" s="43" t="s">
        <v>4</v>
      </c>
      <c r="AF367" s="97">
        <f t="shared" si="60"/>
        <v>1</v>
      </c>
      <c r="AG367" s="44">
        <f t="shared" si="61"/>
        <v>1.0000000000000004</v>
      </c>
      <c r="AH367" s="55">
        <f t="shared" si="62"/>
        <v>0</v>
      </c>
      <c r="AI367" s="55">
        <f>COUNTIF('Score BD'!$M367:$P367,"no")</f>
        <v>0</v>
      </c>
      <c r="AJ367" s="55">
        <f t="shared" si="63"/>
        <v>0</v>
      </c>
      <c r="AK367" s="55">
        <f t="shared" si="64"/>
        <v>0</v>
      </c>
      <c r="AL367" s="55">
        <f t="shared" si="65"/>
        <v>0</v>
      </c>
      <c r="AM367" s="157" t="s">
        <v>715</v>
      </c>
      <c r="AN367" s="55"/>
      <c r="AO367" s="61"/>
      <c r="AP367" s="61"/>
      <c r="AQ367" s="59" t="str">
        <f>IFERROR(_xlfn.XLOOKUP(Tabla1[[#This Row],[Cedula agente]],Lista!$B$2:$B$97,Lista!$G$2:$G$97)," ")</f>
        <v>Luisa Fernanda Benavides Castrillon</v>
      </c>
      <c r="AR367" s="59" t="s">
        <v>162</v>
      </c>
      <c r="AS367" s="55" t="str">
        <f>IFERROR(_xlfn.XLOOKUP(Tabla1[[#This Row],[Cedula agente]],Lista!$B$2:$B$97,Lista!$F$2:$F$97)," ")</f>
        <v>John Sebastian Roncancio Avendaño</v>
      </c>
      <c r="AT367" s="99">
        <v>0.95</v>
      </c>
      <c r="AU367" s="200">
        <f>+WEEKNUM('Score BD'!$I368)-WEEKNUM(DATE(YEAR('Score BD'!$I368),MONTH('Score BD'!$I368),1))+1</f>
        <v>5</v>
      </c>
    </row>
    <row r="368" spans="1:47" ht="17.45" customHeight="1" x14ac:dyDescent="0.3">
      <c r="A368" s="49" t="str">
        <f t="shared" si="55"/>
        <v>Ministerio de Educación Nacional</v>
      </c>
      <c r="B368" s="50">
        <f>+IFERROR(COUNTIF($J$3:J368,J368)," ")</f>
        <v>15</v>
      </c>
      <c r="C368" s="54" t="str">
        <f>+'Score BD'!$J368&amp;'Score BD'!$B368</f>
        <v>Cesar Rodrigo García15</v>
      </c>
      <c r="D368" s="91" t="s">
        <v>148</v>
      </c>
      <c r="E368" s="92" t="s">
        <v>165</v>
      </c>
      <c r="F368" s="92" t="s">
        <v>212</v>
      </c>
      <c r="G368" s="60" t="str">
        <f t="shared" si="56"/>
        <v>Noviembre</v>
      </c>
      <c r="H368" s="205">
        <v>45987</v>
      </c>
      <c r="I368" s="243">
        <v>45986</v>
      </c>
      <c r="J368" s="57" t="s">
        <v>172</v>
      </c>
      <c r="K368" s="54">
        <f>IFERROR(VLOOKUP('Score BD'!$J368,Lista!A:B,2,0)," ")</f>
        <v>1069257937</v>
      </c>
      <c r="L368" s="61" t="s">
        <v>635</v>
      </c>
      <c r="M368" s="59" t="s">
        <v>4</v>
      </c>
      <c r="N368" s="59" t="s">
        <v>4</v>
      </c>
      <c r="O368" s="59" t="s">
        <v>4</v>
      </c>
      <c r="P368" s="59" t="s">
        <v>4</v>
      </c>
      <c r="Q368" s="96">
        <f t="shared" si="57"/>
        <v>1</v>
      </c>
      <c r="R368" s="59" t="s">
        <v>4</v>
      </c>
      <c r="S368" s="59" t="s">
        <v>4</v>
      </c>
      <c r="T368" s="59" t="s">
        <v>4</v>
      </c>
      <c r="U368" s="59" t="s">
        <v>4</v>
      </c>
      <c r="V368" s="45">
        <f t="shared" si="58"/>
        <v>1</v>
      </c>
      <c r="W368" s="59" t="s">
        <v>4</v>
      </c>
      <c r="X368" s="59" t="s">
        <v>4</v>
      </c>
      <c r="Y368" s="59" t="s">
        <v>4</v>
      </c>
      <c r="Z368" s="59" t="s">
        <v>4</v>
      </c>
      <c r="AA368" s="59" t="s">
        <v>4</v>
      </c>
      <c r="AB368" s="59" t="s">
        <v>4</v>
      </c>
      <c r="AC368" s="45">
        <f t="shared" si="59"/>
        <v>1.000000000000002</v>
      </c>
      <c r="AD368" s="43" t="s">
        <v>4</v>
      </c>
      <c r="AE368" s="43" t="s">
        <v>4</v>
      </c>
      <c r="AF368" s="97">
        <f t="shared" si="60"/>
        <v>1</v>
      </c>
      <c r="AG368" s="44">
        <f t="shared" si="61"/>
        <v>1.0000000000000004</v>
      </c>
      <c r="AH368" s="55">
        <f t="shared" si="62"/>
        <v>0</v>
      </c>
      <c r="AI368" s="55">
        <f>COUNTIF('Score BD'!$M368:$P368,"no")</f>
        <v>0</v>
      </c>
      <c r="AJ368" s="55">
        <f t="shared" si="63"/>
        <v>0</v>
      </c>
      <c r="AK368" s="55">
        <f t="shared" si="64"/>
        <v>0</v>
      </c>
      <c r="AL368" s="55">
        <f t="shared" si="65"/>
        <v>0</v>
      </c>
      <c r="AM368" s="157" t="s">
        <v>715</v>
      </c>
      <c r="AN368" s="55"/>
      <c r="AO368" s="61"/>
      <c r="AP368" s="61"/>
      <c r="AQ368" s="59" t="str">
        <f>IFERROR(_xlfn.XLOOKUP(Tabla1[[#This Row],[Cedula agente]],Lista!$B$2:$B$97,Lista!$G$2:$G$97)," ")</f>
        <v>Luisa Fernanda Benavides Castrillon</v>
      </c>
      <c r="AR368" s="59" t="s">
        <v>162</v>
      </c>
      <c r="AS368" s="55" t="str">
        <f>IFERROR(_xlfn.XLOOKUP(Tabla1[[#This Row],[Cedula agente]],Lista!$B$2:$B$97,Lista!$F$2:$F$97)," ")</f>
        <v>John Sebastian Roncancio Avendaño</v>
      </c>
      <c r="AT368" s="99">
        <v>0.95</v>
      </c>
      <c r="AU368" s="200">
        <f>+WEEKNUM('Score BD'!$I369)-WEEKNUM(DATE(YEAR('Score BD'!$I369),MONTH('Score BD'!$I369),1))+1</f>
        <v>5</v>
      </c>
    </row>
    <row r="369" spans="1:47" ht="17.45" customHeight="1" x14ac:dyDescent="0.3">
      <c r="A369" s="49" t="str">
        <f t="shared" si="55"/>
        <v>Ministerio de Educación Nacional</v>
      </c>
      <c r="B369" s="50">
        <f>+IFERROR(COUNTIF($J$3:J369,J369)," ")</f>
        <v>16</v>
      </c>
      <c r="C369" s="54" t="str">
        <f>+'Score BD'!$J369&amp;'Score BD'!$B369</f>
        <v>Cesar Rodrigo García16</v>
      </c>
      <c r="D369" s="91" t="s">
        <v>148</v>
      </c>
      <c r="E369" s="92" t="s">
        <v>165</v>
      </c>
      <c r="F369" s="92" t="s">
        <v>212</v>
      </c>
      <c r="G369" s="60" t="str">
        <f t="shared" si="56"/>
        <v>Noviembre</v>
      </c>
      <c r="H369" s="205">
        <v>45987</v>
      </c>
      <c r="I369" s="243">
        <v>45986</v>
      </c>
      <c r="J369" s="57" t="s">
        <v>172</v>
      </c>
      <c r="K369" s="54">
        <f>IFERROR(VLOOKUP('Score BD'!$J369,Lista!A:B,2,0)," ")</f>
        <v>1069257937</v>
      </c>
      <c r="L369" s="61" t="s">
        <v>636</v>
      </c>
      <c r="M369" s="59" t="s">
        <v>4</v>
      </c>
      <c r="N369" s="59" t="s">
        <v>4</v>
      </c>
      <c r="O369" s="59" t="s">
        <v>4</v>
      </c>
      <c r="P369" s="59" t="s">
        <v>4</v>
      </c>
      <c r="Q369" s="96">
        <f t="shared" si="57"/>
        <v>1</v>
      </c>
      <c r="R369" s="59" t="s">
        <v>4</v>
      </c>
      <c r="S369" s="59" t="s">
        <v>4</v>
      </c>
      <c r="T369" s="59" t="s">
        <v>4</v>
      </c>
      <c r="U369" s="59" t="s">
        <v>4</v>
      </c>
      <c r="V369" s="45">
        <f t="shared" si="58"/>
        <v>1</v>
      </c>
      <c r="W369" s="59" t="s">
        <v>4</v>
      </c>
      <c r="X369" s="59" t="s">
        <v>4</v>
      </c>
      <c r="Y369" s="59" t="s">
        <v>4</v>
      </c>
      <c r="Z369" s="59" t="s">
        <v>4</v>
      </c>
      <c r="AA369" s="59" t="s">
        <v>4</v>
      </c>
      <c r="AB369" s="59" t="s">
        <v>4</v>
      </c>
      <c r="AC369" s="45">
        <f t="shared" si="59"/>
        <v>1.000000000000002</v>
      </c>
      <c r="AD369" s="43" t="s">
        <v>4</v>
      </c>
      <c r="AE369" s="43" t="s">
        <v>4</v>
      </c>
      <c r="AF369" s="97">
        <f t="shared" si="60"/>
        <v>1</v>
      </c>
      <c r="AG369" s="44">
        <f t="shared" si="61"/>
        <v>1.0000000000000004</v>
      </c>
      <c r="AH369" s="55">
        <f t="shared" si="62"/>
        <v>0</v>
      </c>
      <c r="AI369" s="55">
        <f>COUNTIF('Score BD'!$M369:$P369,"no")</f>
        <v>0</v>
      </c>
      <c r="AJ369" s="55">
        <f t="shared" si="63"/>
        <v>0</v>
      </c>
      <c r="AK369" s="55">
        <f t="shared" si="64"/>
        <v>0</v>
      </c>
      <c r="AL369" s="55">
        <f t="shared" si="65"/>
        <v>0</v>
      </c>
      <c r="AM369" s="157" t="s">
        <v>715</v>
      </c>
      <c r="AN369" s="55"/>
      <c r="AO369" s="61"/>
      <c r="AP369" s="61"/>
      <c r="AQ369" s="59" t="str">
        <f>IFERROR(_xlfn.XLOOKUP(Tabla1[[#This Row],[Cedula agente]],Lista!$B$2:$B$97,Lista!$G$2:$G$97)," ")</f>
        <v>Luisa Fernanda Benavides Castrillon</v>
      </c>
      <c r="AR369" s="59" t="s">
        <v>162</v>
      </c>
      <c r="AS369" s="55" t="str">
        <f>IFERROR(_xlfn.XLOOKUP(Tabla1[[#This Row],[Cedula agente]],Lista!$B$2:$B$97,Lista!$F$2:$F$97)," ")</f>
        <v>John Sebastian Roncancio Avendaño</v>
      </c>
      <c r="AT369" s="99">
        <v>0.95</v>
      </c>
      <c r="AU369" s="200">
        <f>+WEEKNUM('Score BD'!$I369)-WEEKNUM(DATE(YEAR('Score BD'!$I369),MONTH('Score BD'!$I369),1))+1</f>
        <v>5</v>
      </c>
    </row>
    <row r="370" spans="1:47" ht="17.45" customHeight="1" x14ac:dyDescent="0.3">
      <c r="A370" s="49" t="str">
        <f t="shared" si="55"/>
        <v>Ministerio de Educación Nacional</v>
      </c>
      <c r="B370" s="50">
        <f>+IFERROR(COUNTIF($J$3:J370,J370)," ")</f>
        <v>14</v>
      </c>
      <c r="C370" s="54" t="str">
        <f>+'Score BD'!$J370&amp;'Score BD'!$B370</f>
        <v>Cristian Enrique Benitez Rodriguez14</v>
      </c>
      <c r="D370" s="91" t="s">
        <v>148</v>
      </c>
      <c r="E370" s="92" t="s">
        <v>165</v>
      </c>
      <c r="F370" s="92" t="s">
        <v>212</v>
      </c>
      <c r="G370" s="60" t="str">
        <f t="shared" si="56"/>
        <v>Noviembre</v>
      </c>
      <c r="H370" s="205">
        <v>45987</v>
      </c>
      <c r="I370" s="243">
        <v>45986</v>
      </c>
      <c r="J370" s="57" t="s">
        <v>173</v>
      </c>
      <c r="K370" s="54">
        <f>IFERROR(VLOOKUP('Score BD'!$J370,Lista!A:B,2,0)," ")</f>
        <v>1026574814</v>
      </c>
      <c r="L370" s="61" t="s">
        <v>637</v>
      </c>
      <c r="M370" s="59" t="s">
        <v>4</v>
      </c>
      <c r="N370" s="59" t="s">
        <v>4</v>
      </c>
      <c r="O370" s="59" t="s">
        <v>4</v>
      </c>
      <c r="P370" s="59" t="s">
        <v>4</v>
      </c>
      <c r="Q370" s="96">
        <f t="shared" si="57"/>
        <v>1</v>
      </c>
      <c r="R370" s="59" t="s">
        <v>4</v>
      </c>
      <c r="S370" s="59" t="s">
        <v>4</v>
      </c>
      <c r="T370" s="59" t="s">
        <v>4</v>
      </c>
      <c r="U370" s="59" t="s">
        <v>4</v>
      </c>
      <c r="V370" s="45">
        <f t="shared" si="58"/>
        <v>1</v>
      </c>
      <c r="W370" s="59" t="s">
        <v>4</v>
      </c>
      <c r="X370" s="59" t="s">
        <v>4</v>
      </c>
      <c r="Y370" s="59" t="s">
        <v>4</v>
      </c>
      <c r="Z370" s="59" t="s">
        <v>4</v>
      </c>
      <c r="AA370" s="59" t="s">
        <v>4</v>
      </c>
      <c r="AB370" s="59" t="s">
        <v>4</v>
      </c>
      <c r="AC370" s="45">
        <f t="shared" si="59"/>
        <v>1.000000000000002</v>
      </c>
      <c r="AD370" s="43" t="s">
        <v>4</v>
      </c>
      <c r="AE370" s="43" t="s">
        <v>4</v>
      </c>
      <c r="AF370" s="97">
        <f t="shared" si="60"/>
        <v>1</v>
      </c>
      <c r="AG370" s="44">
        <f t="shared" si="61"/>
        <v>1.0000000000000004</v>
      </c>
      <c r="AH370" s="55">
        <f t="shared" si="62"/>
        <v>0</v>
      </c>
      <c r="AI370" s="55">
        <f>COUNTIF('Score BD'!$M370:$P370,"no")</f>
        <v>0</v>
      </c>
      <c r="AJ370" s="55">
        <f t="shared" si="63"/>
        <v>0</v>
      </c>
      <c r="AK370" s="55">
        <f t="shared" si="64"/>
        <v>0</v>
      </c>
      <c r="AL370" s="55">
        <f t="shared" si="65"/>
        <v>0</v>
      </c>
      <c r="AM370" s="157" t="s">
        <v>715</v>
      </c>
      <c r="AN370" s="55"/>
      <c r="AO370" s="61"/>
      <c r="AP370" s="61"/>
      <c r="AQ370" s="59" t="str">
        <f>IFERROR(_xlfn.XLOOKUP(Tabla1[[#This Row],[Cedula agente]],Lista!$B$2:$B$97,Lista!$G$2:$G$97)," ")</f>
        <v>Luisa Fernanda Benavides Castrillon</v>
      </c>
      <c r="AR370" s="59" t="s">
        <v>162</v>
      </c>
      <c r="AS370" s="55" t="str">
        <f>IFERROR(_xlfn.XLOOKUP(Tabla1[[#This Row],[Cedula agente]],Lista!$B$2:$B$97,Lista!$F$2:$F$97)," ")</f>
        <v>John Sebastian Roncancio Avendaño</v>
      </c>
      <c r="AT370" s="99">
        <v>0.95</v>
      </c>
      <c r="AU370" s="200">
        <f>+WEEKNUM('Score BD'!$I370)-WEEKNUM(DATE(YEAR('Score BD'!$I370),MONTH('Score BD'!$I370),1))+1</f>
        <v>5</v>
      </c>
    </row>
    <row r="371" spans="1:47" ht="17.45" customHeight="1" x14ac:dyDescent="0.3">
      <c r="A371" s="49" t="str">
        <f t="shared" si="55"/>
        <v>Ministerio de Educación Nacional</v>
      </c>
      <c r="B371" s="50">
        <f>+IFERROR(COUNTIF($J$3:J371,J371)," ")</f>
        <v>38</v>
      </c>
      <c r="C371" s="54" t="str">
        <f>+'Score BD'!$J371&amp;'Score BD'!$B371</f>
        <v>Erika Natalia Ramírez Herrera38</v>
      </c>
      <c r="D371" s="91" t="s">
        <v>148</v>
      </c>
      <c r="E371" s="92" t="s">
        <v>164</v>
      </c>
      <c r="F371" s="92" t="s">
        <v>212</v>
      </c>
      <c r="G371" s="60" t="str">
        <f t="shared" si="56"/>
        <v>Noviembre</v>
      </c>
      <c r="H371" s="205">
        <v>45987</v>
      </c>
      <c r="I371" s="243">
        <v>45986</v>
      </c>
      <c r="J371" s="57" t="s">
        <v>174</v>
      </c>
      <c r="K371" s="54">
        <f>IFERROR(VLOOKUP('Score BD'!$J371,Lista!A:B,2,0)," ")</f>
        <v>1032367072</v>
      </c>
      <c r="L371" s="61" t="s">
        <v>638</v>
      </c>
      <c r="M371" s="59" t="s">
        <v>4</v>
      </c>
      <c r="N371" s="59" t="s">
        <v>4</v>
      </c>
      <c r="O371" s="59" t="s">
        <v>4</v>
      </c>
      <c r="P371" s="59" t="s">
        <v>4</v>
      </c>
      <c r="Q371" s="96">
        <f t="shared" si="57"/>
        <v>1</v>
      </c>
      <c r="R371" s="59" t="s">
        <v>4</v>
      </c>
      <c r="S371" s="59" t="s">
        <v>4</v>
      </c>
      <c r="T371" s="59" t="s">
        <v>4</v>
      </c>
      <c r="U371" s="59" t="s">
        <v>4</v>
      </c>
      <c r="V371" s="45">
        <f t="shared" si="58"/>
        <v>1</v>
      </c>
      <c r="W371" s="59" t="s">
        <v>4</v>
      </c>
      <c r="X371" s="59" t="s">
        <v>4</v>
      </c>
      <c r="Y371" s="59" t="s">
        <v>4</v>
      </c>
      <c r="Z371" s="59" t="s">
        <v>4</v>
      </c>
      <c r="AA371" s="59" t="s">
        <v>4</v>
      </c>
      <c r="AB371" s="59" t="s">
        <v>4</v>
      </c>
      <c r="AC371" s="45">
        <f t="shared" si="59"/>
        <v>1.000000000000002</v>
      </c>
      <c r="AD371" s="43" t="s">
        <v>4</v>
      </c>
      <c r="AE371" s="43" t="s">
        <v>4</v>
      </c>
      <c r="AF371" s="97">
        <f t="shared" si="60"/>
        <v>1</v>
      </c>
      <c r="AG371" s="44">
        <f t="shared" si="61"/>
        <v>1.0000000000000004</v>
      </c>
      <c r="AH371" s="55">
        <f t="shared" si="62"/>
        <v>0</v>
      </c>
      <c r="AI371" s="55">
        <f>COUNTIF('Score BD'!$M371:$P371,"no")</f>
        <v>0</v>
      </c>
      <c r="AJ371" s="55">
        <f t="shared" si="63"/>
        <v>0</v>
      </c>
      <c r="AK371" s="55">
        <f t="shared" si="64"/>
        <v>0</v>
      </c>
      <c r="AL371" s="55">
        <f t="shared" si="65"/>
        <v>0</v>
      </c>
      <c r="AM371" s="157" t="s">
        <v>715</v>
      </c>
      <c r="AN371" s="55"/>
      <c r="AO371" s="61"/>
      <c r="AP371" s="61"/>
      <c r="AQ371" s="59" t="str">
        <f>IFERROR(_xlfn.XLOOKUP(Tabla1[[#This Row],[Cedula agente]],Lista!$B$2:$B$97,Lista!$G$2:$G$97)," ")</f>
        <v>Luisa Fernanda Benavides Castrillon</v>
      </c>
      <c r="AR371" s="59" t="s">
        <v>162</v>
      </c>
      <c r="AS371" s="55" t="str">
        <f>IFERROR(_xlfn.XLOOKUP(Tabla1[[#This Row],[Cedula agente]],Lista!$B$2:$B$97,Lista!$F$2:$F$97)," ")</f>
        <v>John Sebastian Roncancio Avendaño</v>
      </c>
      <c r="AT371" s="99">
        <v>0.95</v>
      </c>
      <c r="AU371" s="200">
        <f>+WEEKNUM('Score BD'!$I371)-WEEKNUM(DATE(YEAR('Score BD'!$I371),MONTH('Score BD'!$I371),1))+1</f>
        <v>5</v>
      </c>
    </row>
    <row r="372" spans="1:47" ht="17.45" customHeight="1" x14ac:dyDescent="0.3">
      <c r="A372" s="49" t="str">
        <f t="shared" si="55"/>
        <v>Ministerio de Educación Nacional</v>
      </c>
      <c r="B372" s="50">
        <f>+IFERROR(COUNTIF($J$3:J372,J372)," ")</f>
        <v>39</v>
      </c>
      <c r="C372" s="54" t="str">
        <f>+'Score BD'!$J372&amp;'Score BD'!$B372</f>
        <v>Erika Natalia Ramírez Herrera39</v>
      </c>
      <c r="D372" s="91" t="s">
        <v>148</v>
      </c>
      <c r="E372" s="92" t="s">
        <v>164</v>
      </c>
      <c r="F372" s="92" t="s">
        <v>212</v>
      </c>
      <c r="G372" s="60" t="str">
        <f t="shared" si="56"/>
        <v>Noviembre</v>
      </c>
      <c r="H372" s="205">
        <v>45987</v>
      </c>
      <c r="I372" s="243">
        <v>45986</v>
      </c>
      <c r="J372" s="57" t="s">
        <v>174</v>
      </c>
      <c r="K372" s="54">
        <f>IFERROR(VLOOKUP('Score BD'!$J372,Lista!A:B,2,0)," ")</f>
        <v>1032367072</v>
      </c>
      <c r="L372" s="61" t="s">
        <v>639</v>
      </c>
      <c r="M372" s="59" t="s">
        <v>4</v>
      </c>
      <c r="N372" s="59" t="s">
        <v>4</v>
      </c>
      <c r="O372" s="59" t="s">
        <v>4</v>
      </c>
      <c r="P372" s="59" t="s">
        <v>4</v>
      </c>
      <c r="Q372" s="96">
        <f t="shared" si="57"/>
        <v>1</v>
      </c>
      <c r="R372" s="59" t="s">
        <v>4</v>
      </c>
      <c r="S372" s="59" t="s">
        <v>4</v>
      </c>
      <c r="T372" s="59" t="s">
        <v>4</v>
      </c>
      <c r="U372" s="59" t="s">
        <v>4</v>
      </c>
      <c r="V372" s="45">
        <f t="shared" si="58"/>
        <v>1</v>
      </c>
      <c r="W372" s="59" t="s">
        <v>4</v>
      </c>
      <c r="X372" s="59" t="s">
        <v>4</v>
      </c>
      <c r="Y372" s="59" t="s">
        <v>4</v>
      </c>
      <c r="Z372" s="59" t="s">
        <v>4</v>
      </c>
      <c r="AA372" s="59" t="s">
        <v>4</v>
      </c>
      <c r="AB372" s="59" t="s">
        <v>4</v>
      </c>
      <c r="AC372" s="45">
        <f t="shared" si="59"/>
        <v>1.000000000000002</v>
      </c>
      <c r="AD372" s="43" t="s">
        <v>4</v>
      </c>
      <c r="AE372" s="43" t="s">
        <v>4</v>
      </c>
      <c r="AF372" s="97">
        <f t="shared" si="60"/>
        <v>1</v>
      </c>
      <c r="AG372" s="44">
        <f t="shared" si="61"/>
        <v>1.0000000000000004</v>
      </c>
      <c r="AH372" s="55">
        <f t="shared" si="62"/>
        <v>0</v>
      </c>
      <c r="AI372" s="55">
        <f>COUNTIF('Score BD'!$M372:$P372,"no")</f>
        <v>0</v>
      </c>
      <c r="AJ372" s="55">
        <f t="shared" si="63"/>
        <v>0</v>
      </c>
      <c r="AK372" s="55">
        <f t="shared" si="64"/>
        <v>0</v>
      </c>
      <c r="AL372" s="55">
        <f t="shared" si="65"/>
        <v>0</v>
      </c>
      <c r="AM372" s="157" t="s">
        <v>715</v>
      </c>
      <c r="AN372" s="55"/>
      <c r="AO372" s="61"/>
      <c r="AP372" s="61"/>
      <c r="AQ372" s="59" t="str">
        <f>IFERROR(_xlfn.XLOOKUP(Tabla1[[#This Row],[Cedula agente]],Lista!$B$2:$B$97,Lista!$G$2:$G$97)," ")</f>
        <v>Luisa Fernanda Benavides Castrillon</v>
      </c>
      <c r="AR372" s="59" t="s">
        <v>162</v>
      </c>
      <c r="AS372" s="55" t="str">
        <f>IFERROR(_xlfn.XLOOKUP(Tabla1[[#This Row],[Cedula agente]],Lista!$B$2:$B$97,Lista!$F$2:$F$97)," ")</f>
        <v>John Sebastian Roncancio Avendaño</v>
      </c>
      <c r="AT372" s="99">
        <v>0.95</v>
      </c>
      <c r="AU372" s="200">
        <f>+WEEKNUM('Score BD'!$I372)-WEEKNUM(DATE(YEAR('Score BD'!$I372),MONTH('Score BD'!$I372),1))+1</f>
        <v>5</v>
      </c>
    </row>
    <row r="373" spans="1:47" ht="17.45" customHeight="1" x14ac:dyDescent="0.3">
      <c r="A373" s="49" t="str">
        <f t="shared" si="55"/>
        <v>Ministerio de Educación Nacional</v>
      </c>
      <c r="B373" s="50">
        <f>+IFERROR(COUNTIF($J$3:J373,J373)," ")</f>
        <v>13</v>
      </c>
      <c r="C373" s="54" t="str">
        <f>+'Score BD'!$J373&amp;'Score BD'!$B373</f>
        <v>Henry Eduardo Padilla Castilla13</v>
      </c>
      <c r="D373" s="91" t="s">
        <v>148</v>
      </c>
      <c r="E373" s="92" t="s">
        <v>165</v>
      </c>
      <c r="F373" s="92" t="s">
        <v>212</v>
      </c>
      <c r="G373" s="60" t="str">
        <f t="shared" si="56"/>
        <v>Noviembre</v>
      </c>
      <c r="H373" s="205">
        <v>45987</v>
      </c>
      <c r="I373" s="243">
        <v>45986</v>
      </c>
      <c r="J373" s="57" t="s">
        <v>175</v>
      </c>
      <c r="K373" s="54">
        <f>IFERROR(VLOOKUP('Score BD'!$J373,Lista!A:B,2,0)," ")</f>
        <v>1063968280</v>
      </c>
      <c r="L373" s="61" t="s">
        <v>640</v>
      </c>
      <c r="M373" s="59" t="s">
        <v>4</v>
      </c>
      <c r="N373" s="59" t="s">
        <v>4</v>
      </c>
      <c r="O373" s="59" t="s">
        <v>4</v>
      </c>
      <c r="P373" s="59" t="s">
        <v>4</v>
      </c>
      <c r="Q373" s="96">
        <f t="shared" si="57"/>
        <v>1</v>
      </c>
      <c r="R373" s="59" t="s">
        <v>4</v>
      </c>
      <c r="S373" s="59" t="s">
        <v>4</v>
      </c>
      <c r="T373" s="59" t="s">
        <v>4</v>
      </c>
      <c r="U373" s="59" t="s">
        <v>4</v>
      </c>
      <c r="V373" s="45">
        <f t="shared" si="58"/>
        <v>1</v>
      </c>
      <c r="W373" s="59" t="s">
        <v>4</v>
      </c>
      <c r="X373" s="59" t="s">
        <v>4</v>
      </c>
      <c r="Y373" s="59" t="s">
        <v>4</v>
      </c>
      <c r="Z373" s="59" t="s">
        <v>4</v>
      </c>
      <c r="AA373" s="59" t="s">
        <v>4</v>
      </c>
      <c r="AB373" s="59" t="s">
        <v>4</v>
      </c>
      <c r="AC373" s="45">
        <f t="shared" si="59"/>
        <v>1.000000000000002</v>
      </c>
      <c r="AD373" s="43" t="s">
        <v>4</v>
      </c>
      <c r="AE373" s="43" t="s">
        <v>4</v>
      </c>
      <c r="AF373" s="97">
        <f t="shared" si="60"/>
        <v>1</v>
      </c>
      <c r="AG373" s="44">
        <f t="shared" si="61"/>
        <v>1.0000000000000004</v>
      </c>
      <c r="AH373" s="55">
        <f t="shared" si="62"/>
        <v>0</v>
      </c>
      <c r="AI373" s="55">
        <f>COUNTIF('Score BD'!$M373:$P373,"no")</f>
        <v>0</v>
      </c>
      <c r="AJ373" s="55">
        <f t="shared" si="63"/>
        <v>0</v>
      </c>
      <c r="AK373" s="55">
        <f t="shared" si="64"/>
        <v>0</v>
      </c>
      <c r="AL373" s="55">
        <f t="shared" si="65"/>
        <v>0</v>
      </c>
      <c r="AM373" s="157" t="s">
        <v>715</v>
      </c>
      <c r="AN373" s="55"/>
      <c r="AO373" s="61"/>
      <c r="AP373" s="61"/>
      <c r="AQ373" s="59" t="str">
        <f>IFERROR(_xlfn.XLOOKUP(Tabla1[[#This Row],[Cedula agente]],Lista!$B$2:$B$97,Lista!$G$2:$G$97)," ")</f>
        <v>Luisa Fernanda Benavides Castrillon</v>
      </c>
      <c r="AR373" s="59" t="s">
        <v>162</v>
      </c>
      <c r="AS373" s="55" t="str">
        <f>IFERROR(_xlfn.XLOOKUP(Tabla1[[#This Row],[Cedula agente]],Lista!$B$2:$B$97,Lista!$F$2:$F$97)," ")</f>
        <v>John Sebastian Roncancio Avendaño</v>
      </c>
      <c r="AT373" s="99">
        <v>0.95</v>
      </c>
      <c r="AU373" s="200">
        <f>+WEEKNUM('Score BD'!$I373)-WEEKNUM(DATE(YEAR('Score BD'!$I373),MONTH('Score BD'!$I373),1))+1</f>
        <v>5</v>
      </c>
    </row>
    <row r="374" spans="1:47" ht="17.45" customHeight="1" x14ac:dyDescent="0.3">
      <c r="A374" s="49" t="str">
        <f t="shared" si="55"/>
        <v>Ministerio de Educación Nacional</v>
      </c>
      <c r="B374" s="50">
        <f>+IFERROR(COUNTIF($J$3:J374,J374)," ")</f>
        <v>30</v>
      </c>
      <c r="C374" s="54" t="str">
        <f>+'Score BD'!$J374&amp;'Score BD'!$B374</f>
        <v>Ingrid Carolina Monsalve Quintero30</v>
      </c>
      <c r="D374" s="91" t="s">
        <v>148</v>
      </c>
      <c r="E374" s="92" t="s">
        <v>164</v>
      </c>
      <c r="F374" s="92" t="s">
        <v>212</v>
      </c>
      <c r="G374" s="60" t="str">
        <f t="shared" si="56"/>
        <v>Noviembre</v>
      </c>
      <c r="H374" s="205">
        <v>45987</v>
      </c>
      <c r="I374" s="243">
        <v>45986</v>
      </c>
      <c r="J374" s="57" t="s">
        <v>176</v>
      </c>
      <c r="K374" s="54">
        <f>IFERROR(VLOOKUP('Score BD'!$J374,Lista!A:B,2,0)," ")</f>
        <v>52805909</v>
      </c>
      <c r="L374" s="61" t="s">
        <v>641</v>
      </c>
      <c r="M374" s="59" t="s">
        <v>4</v>
      </c>
      <c r="N374" s="59" t="s">
        <v>4</v>
      </c>
      <c r="O374" s="59" t="s">
        <v>4</v>
      </c>
      <c r="P374" s="59" t="s">
        <v>4</v>
      </c>
      <c r="Q374" s="96">
        <f t="shared" si="57"/>
        <v>1</v>
      </c>
      <c r="R374" s="59" t="s">
        <v>4</v>
      </c>
      <c r="S374" s="59" t="s">
        <v>4</v>
      </c>
      <c r="T374" s="59" t="s">
        <v>4</v>
      </c>
      <c r="U374" s="59" t="s">
        <v>5</v>
      </c>
      <c r="V374" s="45">
        <f t="shared" si="58"/>
        <v>0.75</v>
      </c>
      <c r="W374" s="59" t="s">
        <v>4</v>
      </c>
      <c r="X374" s="59" t="s">
        <v>4</v>
      </c>
      <c r="Y374" s="59" t="s">
        <v>4</v>
      </c>
      <c r="Z374" s="59" t="s">
        <v>4</v>
      </c>
      <c r="AA374" s="59" t="s">
        <v>4</v>
      </c>
      <c r="AB374" s="59" t="s">
        <v>4</v>
      </c>
      <c r="AC374" s="45">
        <f t="shared" si="59"/>
        <v>1.000000000000002</v>
      </c>
      <c r="AD374" s="43" t="s">
        <v>4</v>
      </c>
      <c r="AE374" s="43" t="s">
        <v>4</v>
      </c>
      <c r="AF374" s="97">
        <f t="shared" si="60"/>
        <v>1</v>
      </c>
      <c r="AG374" s="44">
        <f t="shared" si="61"/>
        <v>0.93750000000000044</v>
      </c>
      <c r="AH374" s="55">
        <f t="shared" si="62"/>
        <v>1</v>
      </c>
      <c r="AI374" s="55">
        <f>COUNTIF('Score BD'!$M374:$P374,"no")</f>
        <v>0</v>
      </c>
      <c r="AJ374" s="55">
        <f t="shared" si="63"/>
        <v>1</v>
      </c>
      <c r="AK374" s="55">
        <f t="shared" si="64"/>
        <v>0</v>
      </c>
      <c r="AL374" s="55">
        <f t="shared" si="65"/>
        <v>0</v>
      </c>
      <c r="AM374" s="157" t="s">
        <v>718</v>
      </c>
      <c r="AN374" s="55" t="s">
        <v>719</v>
      </c>
      <c r="AO374" s="61" t="s">
        <v>270</v>
      </c>
      <c r="AP374" s="519"/>
      <c r="AQ374" s="59" t="str">
        <f>IFERROR(_xlfn.XLOOKUP(Tabla1[[#This Row],[Cedula agente]],Lista!$B$2:$B$97,Lista!$G$2:$G$97)," ")</f>
        <v>Luisa Fernanda Benavides Castrillon</v>
      </c>
      <c r="AR374" s="59" t="s">
        <v>162</v>
      </c>
      <c r="AS374" s="55" t="str">
        <f>IFERROR(_xlfn.XLOOKUP(Tabla1[[#This Row],[Cedula agente]],Lista!$B$2:$B$97,Lista!$F$2:$F$97)," ")</f>
        <v>John Sebastian Roncancio Avendaño</v>
      </c>
      <c r="AT374" s="99">
        <v>0.95</v>
      </c>
      <c r="AU374" s="200">
        <f>+WEEKNUM('Score BD'!$I374)-WEEKNUM(DATE(YEAR('Score BD'!$I374),MONTH('Score BD'!$I374),1))+1</f>
        <v>5</v>
      </c>
    </row>
    <row r="375" spans="1:47" ht="17.45" customHeight="1" x14ac:dyDescent="0.3">
      <c r="A375" s="49" t="str">
        <f t="shared" si="55"/>
        <v>Ministerio de Educación Nacional</v>
      </c>
      <c r="B375" s="50">
        <f>+IFERROR(COUNTIF($J$3:J375,J375)," ")</f>
        <v>31</v>
      </c>
      <c r="C375" s="54" t="str">
        <f>+'Score BD'!$J375&amp;'Score BD'!$B375</f>
        <v>Ingrid Carolina Monsalve Quintero31</v>
      </c>
      <c r="D375" s="91" t="s">
        <v>148</v>
      </c>
      <c r="E375" s="92" t="s">
        <v>164</v>
      </c>
      <c r="F375" s="92" t="s">
        <v>212</v>
      </c>
      <c r="G375" s="60" t="str">
        <f t="shared" si="56"/>
        <v>Noviembre</v>
      </c>
      <c r="H375" s="205">
        <v>45987</v>
      </c>
      <c r="I375" s="243">
        <v>45986</v>
      </c>
      <c r="J375" s="57" t="s">
        <v>176</v>
      </c>
      <c r="K375" s="54">
        <f>IFERROR(VLOOKUP('Score BD'!$J375,Lista!A:B,2,0)," ")</f>
        <v>52805909</v>
      </c>
      <c r="L375" s="61" t="s">
        <v>642</v>
      </c>
      <c r="M375" s="59" t="s">
        <v>4</v>
      </c>
      <c r="N375" s="59" t="s">
        <v>4</v>
      </c>
      <c r="O375" s="59" t="s">
        <v>4</v>
      </c>
      <c r="P375" s="59" t="s">
        <v>4</v>
      </c>
      <c r="Q375" s="96">
        <f t="shared" si="57"/>
        <v>1</v>
      </c>
      <c r="R375" s="59" t="s">
        <v>4</v>
      </c>
      <c r="S375" s="59" t="s">
        <v>4</v>
      </c>
      <c r="T375" s="59" t="s">
        <v>4</v>
      </c>
      <c r="U375" s="59" t="s">
        <v>4</v>
      </c>
      <c r="V375" s="45">
        <f t="shared" si="58"/>
        <v>1</v>
      </c>
      <c r="W375" s="59" t="s">
        <v>4</v>
      </c>
      <c r="X375" s="59" t="s">
        <v>4</v>
      </c>
      <c r="Y375" s="59" t="s">
        <v>4</v>
      </c>
      <c r="Z375" s="59" t="s">
        <v>4</v>
      </c>
      <c r="AA375" s="59" t="s">
        <v>4</v>
      </c>
      <c r="AB375" s="59" t="s">
        <v>4</v>
      </c>
      <c r="AC375" s="45">
        <f t="shared" si="59"/>
        <v>1.000000000000002</v>
      </c>
      <c r="AD375" s="43" t="s">
        <v>4</v>
      </c>
      <c r="AE375" s="43" t="s">
        <v>4</v>
      </c>
      <c r="AF375" s="97">
        <f t="shared" si="60"/>
        <v>1</v>
      </c>
      <c r="AG375" s="44">
        <f t="shared" si="61"/>
        <v>1.0000000000000004</v>
      </c>
      <c r="AH375" s="55">
        <f t="shared" si="62"/>
        <v>0</v>
      </c>
      <c r="AI375" s="55">
        <f>COUNTIF('Score BD'!$M375:$P375,"no")</f>
        <v>0</v>
      </c>
      <c r="AJ375" s="55">
        <f t="shared" si="63"/>
        <v>0</v>
      </c>
      <c r="AK375" s="55">
        <f t="shared" si="64"/>
        <v>0</v>
      </c>
      <c r="AL375" s="55">
        <f t="shared" si="65"/>
        <v>0</v>
      </c>
      <c r="AM375" s="157" t="s">
        <v>715</v>
      </c>
      <c r="AN375" s="55"/>
      <c r="AO375" s="61"/>
      <c r="AP375" s="61"/>
      <c r="AQ375" s="59" t="str">
        <f>IFERROR(_xlfn.XLOOKUP(Tabla1[[#This Row],[Cedula agente]],Lista!$B$2:$B$97,Lista!$G$2:$G$97)," ")</f>
        <v>Luisa Fernanda Benavides Castrillon</v>
      </c>
      <c r="AR375" s="59" t="s">
        <v>162</v>
      </c>
      <c r="AS375" s="55" t="str">
        <f>IFERROR(_xlfn.XLOOKUP(Tabla1[[#This Row],[Cedula agente]],Lista!$B$2:$B$97,Lista!$F$2:$F$97)," ")</f>
        <v>John Sebastian Roncancio Avendaño</v>
      </c>
      <c r="AT375" s="99">
        <v>0.95</v>
      </c>
      <c r="AU375" s="200">
        <f>+WEEKNUM('Score BD'!$I375)-WEEKNUM(DATE(YEAR('Score BD'!$I375),MONTH('Score BD'!$I375),1))+1</f>
        <v>5</v>
      </c>
    </row>
    <row r="376" spans="1:47" ht="17.45" customHeight="1" x14ac:dyDescent="0.3">
      <c r="A376" s="49" t="str">
        <f t="shared" si="55"/>
        <v>Ministerio de Educación Nacional</v>
      </c>
      <c r="B376" s="50">
        <f>+IFERROR(COUNTIF($J$3:J376,J376)," ")</f>
        <v>13</v>
      </c>
      <c r="C376" s="54" t="str">
        <f>+'Score BD'!$J376&amp;'Score BD'!$B376</f>
        <v>Jesus David Hernandez Fernandez de Castro13</v>
      </c>
      <c r="D376" s="91" t="s">
        <v>148</v>
      </c>
      <c r="E376" s="92" t="s">
        <v>208</v>
      </c>
      <c r="F376" s="92" t="s">
        <v>105</v>
      </c>
      <c r="G376" s="60" t="str">
        <f t="shared" si="56"/>
        <v>Noviembre</v>
      </c>
      <c r="H376" s="205">
        <v>45987</v>
      </c>
      <c r="I376" s="243">
        <v>45986</v>
      </c>
      <c r="J376" s="57" t="s">
        <v>177</v>
      </c>
      <c r="K376" s="54">
        <f>IFERROR(VLOOKUP('Score BD'!$J376,Lista!A:B,2,0)," ")</f>
        <v>1083038013</v>
      </c>
      <c r="L376" s="61" t="s">
        <v>643</v>
      </c>
      <c r="M376" s="59" t="s">
        <v>4</v>
      </c>
      <c r="N376" s="59" t="s">
        <v>4</v>
      </c>
      <c r="O376" s="59" t="s">
        <v>4</v>
      </c>
      <c r="P376" s="59" t="s">
        <v>4</v>
      </c>
      <c r="Q376" s="96">
        <f t="shared" si="57"/>
        <v>1</v>
      </c>
      <c r="R376" s="59" t="s">
        <v>4</v>
      </c>
      <c r="S376" s="59" t="s">
        <v>4</v>
      </c>
      <c r="T376" s="59" t="s">
        <v>4</v>
      </c>
      <c r="U376" s="59" t="s">
        <v>4</v>
      </c>
      <c r="V376" s="45">
        <f t="shared" si="58"/>
        <v>1</v>
      </c>
      <c r="W376" s="59" t="s">
        <v>4</v>
      </c>
      <c r="X376" s="59" t="s">
        <v>4</v>
      </c>
      <c r="Y376" s="59" t="s">
        <v>4</v>
      </c>
      <c r="Z376" s="59" t="s">
        <v>4</v>
      </c>
      <c r="AA376" s="59" t="s">
        <v>4</v>
      </c>
      <c r="AB376" s="59" t="s">
        <v>4</v>
      </c>
      <c r="AC376" s="45">
        <f t="shared" si="59"/>
        <v>1.000000000000002</v>
      </c>
      <c r="AD376" s="43" t="s">
        <v>4</v>
      </c>
      <c r="AE376" s="43" t="s">
        <v>4</v>
      </c>
      <c r="AF376" s="97">
        <f t="shared" si="60"/>
        <v>1</v>
      </c>
      <c r="AG376" s="44">
        <f t="shared" si="61"/>
        <v>1.0000000000000004</v>
      </c>
      <c r="AH376" s="55">
        <f t="shared" si="62"/>
        <v>0</v>
      </c>
      <c r="AI376" s="55">
        <f>COUNTIF('Score BD'!$M376:$P376,"no")</f>
        <v>0</v>
      </c>
      <c r="AJ376" s="55">
        <f t="shared" si="63"/>
        <v>0</v>
      </c>
      <c r="AK376" s="55">
        <f t="shared" si="64"/>
        <v>0</v>
      </c>
      <c r="AL376" s="55">
        <f t="shared" si="65"/>
        <v>0</v>
      </c>
      <c r="AM376" s="157" t="s">
        <v>715</v>
      </c>
      <c r="AN376" s="55"/>
      <c r="AO376" s="61"/>
      <c r="AP376" s="157"/>
      <c r="AQ376" s="59" t="str">
        <f>IFERROR(_xlfn.XLOOKUP(Tabla1[[#This Row],[Cedula agente]],Lista!$B$2:$B$97,Lista!$G$2:$G$97)," ")</f>
        <v>Luisa Fernanda Benavides Castrillon</v>
      </c>
      <c r="AR376" s="59" t="s">
        <v>162</v>
      </c>
      <c r="AS376" s="55" t="str">
        <f>IFERROR(_xlfn.XLOOKUP(Tabla1[[#This Row],[Cedula agente]],Lista!$B$2:$B$97,Lista!$F$2:$F$97)," ")</f>
        <v>John Sebastian Roncancio Avendaño</v>
      </c>
      <c r="AT376" s="99">
        <v>0.95</v>
      </c>
      <c r="AU376" s="200">
        <f>+WEEKNUM('Score BD'!$I376)-WEEKNUM(DATE(YEAR('Score BD'!$I376),MONTH('Score BD'!$I376),1))+1</f>
        <v>5</v>
      </c>
    </row>
    <row r="377" spans="1:47" ht="17.45" customHeight="1" x14ac:dyDescent="0.3">
      <c r="A377" s="49" t="str">
        <f t="shared" si="55"/>
        <v>Ministerio de Educación Nacional</v>
      </c>
      <c r="B377" s="50">
        <f>+IFERROR(COUNTIF($J$3:J377,J377)," ")</f>
        <v>20</v>
      </c>
      <c r="C377" s="54" t="str">
        <f>+'Score BD'!$J377&amp;'Score BD'!$B377</f>
        <v>Juan Jose Santoya Medina20</v>
      </c>
      <c r="D377" s="91" t="s">
        <v>148</v>
      </c>
      <c r="E377" s="92" t="s">
        <v>165</v>
      </c>
      <c r="F377" s="92" t="s">
        <v>212</v>
      </c>
      <c r="G377" s="60" t="str">
        <f t="shared" si="56"/>
        <v>Noviembre</v>
      </c>
      <c r="H377" s="205">
        <v>45987</v>
      </c>
      <c r="I377" s="243">
        <v>45986</v>
      </c>
      <c r="J377" s="57" t="s">
        <v>178</v>
      </c>
      <c r="K377" s="54">
        <f>IFERROR(VLOOKUP('Score BD'!$J377,Lista!A:B,2,0)," ")</f>
        <v>1053345183</v>
      </c>
      <c r="L377" s="61" t="s">
        <v>644</v>
      </c>
      <c r="M377" s="59" t="s">
        <v>4</v>
      </c>
      <c r="N377" s="59" t="s">
        <v>4</v>
      </c>
      <c r="O377" s="59" t="s">
        <v>4</v>
      </c>
      <c r="P377" s="59" t="s">
        <v>4</v>
      </c>
      <c r="Q377" s="96">
        <f t="shared" si="57"/>
        <v>1</v>
      </c>
      <c r="R377" s="59" t="s">
        <v>4</v>
      </c>
      <c r="S377" s="59" t="s">
        <v>4</v>
      </c>
      <c r="T377" s="59" t="s">
        <v>4</v>
      </c>
      <c r="U377" s="59" t="s">
        <v>4</v>
      </c>
      <c r="V377" s="45">
        <f t="shared" si="58"/>
        <v>1</v>
      </c>
      <c r="W377" s="59" t="s">
        <v>4</v>
      </c>
      <c r="X377" s="59" t="s">
        <v>4</v>
      </c>
      <c r="Y377" s="59" t="s">
        <v>4</v>
      </c>
      <c r="Z377" s="59" t="s">
        <v>4</v>
      </c>
      <c r="AA377" s="59" t="s">
        <v>4</v>
      </c>
      <c r="AB377" s="59" t="s">
        <v>4</v>
      </c>
      <c r="AC377" s="45">
        <f t="shared" si="59"/>
        <v>1.000000000000002</v>
      </c>
      <c r="AD377" s="43" t="s">
        <v>4</v>
      </c>
      <c r="AE377" s="43" t="s">
        <v>4</v>
      </c>
      <c r="AF377" s="97">
        <f t="shared" si="60"/>
        <v>1</v>
      </c>
      <c r="AG377" s="44">
        <f t="shared" si="61"/>
        <v>1.0000000000000004</v>
      </c>
      <c r="AH377" s="55">
        <f t="shared" si="62"/>
        <v>0</v>
      </c>
      <c r="AI377" s="55">
        <f>COUNTIF('Score BD'!$M377:$P377,"no")</f>
        <v>0</v>
      </c>
      <c r="AJ377" s="55">
        <f t="shared" si="63"/>
        <v>0</v>
      </c>
      <c r="AK377" s="55">
        <f t="shared" si="64"/>
        <v>0</v>
      </c>
      <c r="AL377" s="55">
        <f t="shared" si="65"/>
        <v>0</v>
      </c>
      <c r="AM377" s="157" t="s">
        <v>715</v>
      </c>
      <c r="AN377" s="157"/>
      <c r="AO377" s="61"/>
      <c r="AP377" s="157"/>
      <c r="AQ377" s="59" t="str">
        <f>IFERROR(_xlfn.XLOOKUP(Tabla1[[#This Row],[Cedula agente]],Lista!$B$2:$B$97,Lista!$G$2:$G$97)," ")</f>
        <v>Luisa Fernanda Benavides Castrillon</v>
      </c>
      <c r="AR377" s="59" t="s">
        <v>162</v>
      </c>
      <c r="AS377" s="55" t="str">
        <f>IFERROR(_xlfn.XLOOKUP(Tabla1[[#This Row],[Cedula agente]],Lista!$B$2:$B$97,Lista!$F$2:$F$97)," ")</f>
        <v>John Sebastian Roncancio Avendaño</v>
      </c>
      <c r="AT377" s="99">
        <v>0.95</v>
      </c>
      <c r="AU377" s="200">
        <f>+WEEKNUM('Score BD'!$I377)-WEEKNUM(DATE(YEAR('Score BD'!$I377),MONTH('Score BD'!$I377),1))+1</f>
        <v>5</v>
      </c>
    </row>
    <row r="378" spans="1:47" ht="17.45" customHeight="1" x14ac:dyDescent="0.3">
      <c r="A378" s="49" t="str">
        <f t="shared" si="55"/>
        <v>Ministerio de Educación Nacional</v>
      </c>
      <c r="B378" s="50">
        <f>+IFERROR(COUNTIF($J$3:J378,J378)," ")</f>
        <v>21</v>
      </c>
      <c r="C378" s="54" t="str">
        <f>+'Score BD'!$J378&amp;'Score BD'!$B378</f>
        <v>Juan Jose Santoya Medina21</v>
      </c>
      <c r="D378" s="91" t="s">
        <v>148</v>
      </c>
      <c r="E378" s="92" t="s">
        <v>165</v>
      </c>
      <c r="F378" s="92" t="s">
        <v>212</v>
      </c>
      <c r="G378" s="60" t="str">
        <f t="shared" si="56"/>
        <v>Noviembre</v>
      </c>
      <c r="H378" s="205">
        <v>45987</v>
      </c>
      <c r="I378" s="243">
        <v>45986</v>
      </c>
      <c r="J378" s="57" t="s">
        <v>178</v>
      </c>
      <c r="K378" s="54">
        <f>IFERROR(VLOOKUP('Score BD'!$J378,Lista!A:B,2,0)," ")</f>
        <v>1053345183</v>
      </c>
      <c r="L378" s="61" t="s">
        <v>645</v>
      </c>
      <c r="M378" s="59" t="s">
        <v>4</v>
      </c>
      <c r="N378" s="59" t="s">
        <v>4</v>
      </c>
      <c r="O378" s="59" t="s">
        <v>4</v>
      </c>
      <c r="P378" s="59" t="s">
        <v>4</v>
      </c>
      <c r="Q378" s="96">
        <f t="shared" si="57"/>
        <v>1</v>
      </c>
      <c r="R378" s="59" t="s">
        <v>4</v>
      </c>
      <c r="S378" s="59" t="s">
        <v>4</v>
      </c>
      <c r="T378" s="59" t="s">
        <v>4</v>
      </c>
      <c r="U378" s="59" t="s">
        <v>4</v>
      </c>
      <c r="V378" s="45">
        <f t="shared" si="58"/>
        <v>1</v>
      </c>
      <c r="W378" s="59" t="s">
        <v>4</v>
      </c>
      <c r="X378" s="59" t="s">
        <v>4</v>
      </c>
      <c r="Y378" s="59" t="s">
        <v>4</v>
      </c>
      <c r="Z378" s="59" t="s">
        <v>4</v>
      </c>
      <c r="AA378" s="59" t="s">
        <v>4</v>
      </c>
      <c r="AB378" s="59" t="s">
        <v>4</v>
      </c>
      <c r="AC378" s="45">
        <f t="shared" si="59"/>
        <v>1.000000000000002</v>
      </c>
      <c r="AD378" s="43" t="s">
        <v>4</v>
      </c>
      <c r="AE378" s="43" t="s">
        <v>4</v>
      </c>
      <c r="AF378" s="97">
        <f t="shared" si="60"/>
        <v>1</v>
      </c>
      <c r="AG378" s="44">
        <f t="shared" si="61"/>
        <v>1.0000000000000004</v>
      </c>
      <c r="AH378" s="55">
        <f t="shared" si="62"/>
        <v>0</v>
      </c>
      <c r="AI378" s="55">
        <f>COUNTIF('Score BD'!$M378:$P378,"no")</f>
        <v>0</v>
      </c>
      <c r="AJ378" s="55">
        <f t="shared" si="63"/>
        <v>0</v>
      </c>
      <c r="AK378" s="55">
        <f t="shared" si="64"/>
        <v>0</v>
      </c>
      <c r="AL378" s="55">
        <f t="shared" si="65"/>
        <v>0</v>
      </c>
      <c r="AM378" s="157" t="s">
        <v>715</v>
      </c>
      <c r="AN378" s="55"/>
      <c r="AO378" s="61"/>
      <c r="AP378" s="61"/>
      <c r="AQ378" s="59" t="str">
        <f>IFERROR(_xlfn.XLOOKUP(Tabla1[[#This Row],[Cedula agente]],Lista!$B$2:$B$97,Lista!$G$2:$G$97)," ")</f>
        <v>Luisa Fernanda Benavides Castrillon</v>
      </c>
      <c r="AR378" s="59" t="s">
        <v>162</v>
      </c>
      <c r="AS378" s="55" t="str">
        <f>IFERROR(_xlfn.XLOOKUP(Tabla1[[#This Row],[Cedula agente]],Lista!$B$2:$B$97,Lista!$F$2:$F$97)," ")</f>
        <v>John Sebastian Roncancio Avendaño</v>
      </c>
      <c r="AT378" s="99">
        <v>0.95</v>
      </c>
      <c r="AU378" s="200">
        <f>+WEEKNUM('Score BD'!$I378)-WEEKNUM(DATE(YEAR('Score BD'!$I378),MONTH('Score BD'!$I378),1))+1</f>
        <v>5</v>
      </c>
    </row>
    <row r="379" spans="1:47" ht="17.45" customHeight="1" x14ac:dyDescent="0.3">
      <c r="A379" s="49" t="str">
        <f t="shared" si="55"/>
        <v>Ministerio de Educación Nacional</v>
      </c>
      <c r="B379" s="50">
        <f>+IFERROR(COUNTIF($J$3:J379,J379)," ")</f>
        <v>22</v>
      </c>
      <c r="C379" s="54" t="str">
        <f>+'Score BD'!$J379&amp;'Score BD'!$B379</f>
        <v>Juan Jose Santoya Medina22</v>
      </c>
      <c r="D379" s="91" t="s">
        <v>148</v>
      </c>
      <c r="E379" s="92" t="s">
        <v>165</v>
      </c>
      <c r="F379" s="92" t="s">
        <v>212</v>
      </c>
      <c r="G379" s="60" t="str">
        <f t="shared" si="56"/>
        <v>Noviembre</v>
      </c>
      <c r="H379" s="205">
        <v>45987</v>
      </c>
      <c r="I379" s="243">
        <v>45986</v>
      </c>
      <c r="J379" s="57" t="s">
        <v>178</v>
      </c>
      <c r="K379" s="54">
        <f>IFERROR(VLOOKUP('Score BD'!$J379,Lista!A:B,2,0)," ")</f>
        <v>1053345183</v>
      </c>
      <c r="L379" s="61" t="s">
        <v>646</v>
      </c>
      <c r="M379" s="59" t="s">
        <v>4</v>
      </c>
      <c r="N379" s="59" t="s">
        <v>4</v>
      </c>
      <c r="O379" s="59" t="s">
        <v>4</v>
      </c>
      <c r="P379" s="59" t="s">
        <v>4</v>
      </c>
      <c r="Q379" s="96">
        <f t="shared" si="57"/>
        <v>1</v>
      </c>
      <c r="R379" s="59" t="s">
        <v>4</v>
      </c>
      <c r="S379" s="59" t="s">
        <v>4</v>
      </c>
      <c r="T379" s="59" t="s">
        <v>4</v>
      </c>
      <c r="U379" s="59" t="s">
        <v>4</v>
      </c>
      <c r="V379" s="45">
        <f t="shared" si="58"/>
        <v>1</v>
      </c>
      <c r="W379" s="59" t="s">
        <v>4</v>
      </c>
      <c r="X379" s="59" t="s">
        <v>4</v>
      </c>
      <c r="Y379" s="59" t="s">
        <v>4</v>
      </c>
      <c r="Z379" s="59" t="s">
        <v>4</v>
      </c>
      <c r="AA379" s="59" t="s">
        <v>4</v>
      </c>
      <c r="AB379" s="59" t="s">
        <v>4</v>
      </c>
      <c r="AC379" s="45">
        <f t="shared" si="59"/>
        <v>1.000000000000002</v>
      </c>
      <c r="AD379" s="43" t="s">
        <v>4</v>
      </c>
      <c r="AE379" s="43" t="s">
        <v>4</v>
      </c>
      <c r="AF379" s="97">
        <f t="shared" si="60"/>
        <v>1</v>
      </c>
      <c r="AG379" s="44">
        <f t="shared" si="61"/>
        <v>1.0000000000000004</v>
      </c>
      <c r="AH379" s="55">
        <f t="shared" si="62"/>
        <v>0</v>
      </c>
      <c r="AI379" s="55">
        <f>COUNTIF('Score BD'!$M379:$P379,"no")</f>
        <v>0</v>
      </c>
      <c r="AJ379" s="55">
        <f t="shared" si="63"/>
        <v>0</v>
      </c>
      <c r="AK379" s="55">
        <f t="shared" si="64"/>
        <v>0</v>
      </c>
      <c r="AL379" s="55">
        <f t="shared" si="65"/>
        <v>0</v>
      </c>
      <c r="AM379" s="157" t="s">
        <v>715</v>
      </c>
      <c r="AN379" s="55"/>
      <c r="AO379" s="61"/>
      <c r="AP379" s="61"/>
      <c r="AQ379" s="59" t="str">
        <f>IFERROR(_xlfn.XLOOKUP(Tabla1[[#This Row],[Cedula agente]],Lista!$B$2:$B$97,Lista!$G$2:$G$97)," ")</f>
        <v>Luisa Fernanda Benavides Castrillon</v>
      </c>
      <c r="AR379" s="59" t="s">
        <v>162</v>
      </c>
      <c r="AS379" s="55" t="str">
        <f>IFERROR(_xlfn.XLOOKUP(Tabla1[[#This Row],[Cedula agente]],Lista!$B$2:$B$97,Lista!$F$2:$F$97)," ")</f>
        <v>John Sebastian Roncancio Avendaño</v>
      </c>
      <c r="AT379" s="99">
        <v>0.95</v>
      </c>
      <c r="AU379" s="200">
        <f>+WEEKNUM('Score BD'!$I379)-WEEKNUM(DATE(YEAR('Score BD'!$I379),MONTH('Score BD'!$I379),1))+1</f>
        <v>5</v>
      </c>
    </row>
    <row r="380" spans="1:47" ht="17.45" customHeight="1" x14ac:dyDescent="0.3">
      <c r="A380" s="49" t="str">
        <f t="shared" si="55"/>
        <v>Ministerio de Educación Nacional</v>
      </c>
      <c r="B380" s="50">
        <f>+IFERROR(COUNTIF($J$3:J380,J380)," ")</f>
        <v>16</v>
      </c>
      <c r="C380" s="54" t="str">
        <f>+'Score BD'!$J380&amp;'Score BD'!$B380</f>
        <v>Juan Sebastián Suárez Morales16</v>
      </c>
      <c r="D380" s="91" t="s">
        <v>148</v>
      </c>
      <c r="E380" s="92" t="s">
        <v>165</v>
      </c>
      <c r="F380" s="92" t="s">
        <v>212</v>
      </c>
      <c r="G380" s="60" t="str">
        <f t="shared" si="56"/>
        <v>Noviembre</v>
      </c>
      <c r="H380" s="205">
        <v>45987</v>
      </c>
      <c r="I380" s="243">
        <v>45986</v>
      </c>
      <c r="J380" s="57" t="s">
        <v>179</v>
      </c>
      <c r="K380" s="54">
        <f>IFERROR(VLOOKUP('Score BD'!$J380,Lista!A:B,2,0)," ")</f>
        <v>1030541070</v>
      </c>
      <c r="L380" s="61" t="s">
        <v>647</v>
      </c>
      <c r="M380" s="59" t="s">
        <v>4</v>
      </c>
      <c r="N380" s="59" t="s">
        <v>4</v>
      </c>
      <c r="O380" s="59" t="s">
        <v>4</v>
      </c>
      <c r="P380" s="59" t="s">
        <v>4</v>
      </c>
      <c r="Q380" s="96">
        <f t="shared" si="57"/>
        <v>1</v>
      </c>
      <c r="R380" s="59" t="s">
        <v>4</v>
      </c>
      <c r="S380" s="59" t="s">
        <v>4</v>
      </c>
      <c r="T380" s="59" t="s">
        <v>4</v>
      </c>
      <c r="U380" s="59" t="s">
        <v>4</v>
      </c>
      <c r="V380" s="45">
        <f t="shared" si="58"/>
        <v>1</v>
      </c>
      <c r="W380" s="59" t="s">
        <v>4</v>
      </c>
      <c r="X380" s="59" t="s">
        <v>4</v>
      </c>
      <c r="Y380" s="59" t="s">
        <v>4</v>
      </c>
      <c r="Z380" s="59" t="s">
        <v>4</v>
      </c>
      <c r="AA380" s="59" t="s">
        <v>4</v>
      </c>
      <c r="AB380" s="59" t="s">
        <v>4</v>
      </c>
      <c r="AC380" s="45">
        <f t="shared" si="59"/>
        <v>1.000000000000002</v>
      </c>
      <c r="AD380" s="43" t="s">
        <v>4</v>
      </c>
      <c r="AE380" s="43" t="s">
        <v>4</v>
      </c>
      <c r="AF380" s="97">
        <f t="shared" si="60"/>
        <v>1</v>
      </c>
      <c r="AG380" s="44">
        <f t="shared" si="61"/>
        <v>1.0000000000000004</v>
      </c>
      <c r="AH380" s="55">
        <f t="shared" si="62"/>
        <v>0</v>
      </c>
      <c r="AI380" s="55">
        <f>COUNTIF('Score BD'!$M380:$P380,"no")</f>
        <v>0</v>
      </c>
      <c r="AJ380" s="55">
        <f t="shared" si="63"/>
        <v>0</v>
      </c>
      <c r="AK380" s="55">
        <f t="shared" si="64"/>
        <v>0</v>
      </c>
      <c r="AL380" s="55">
        <f t="shared" si="65"/>
        <v>0</v>
      </c>
      <c r="AM380" s="157" t="s">
        <v>715</v>
      </c>
      <c r="AN380" s="55"/>
      <c r="AO380" s="61"/>
      <c r="AP380" s="61"/>
      <c r="AQ380" s="59" t="str">
        <f>IFERROR(_xlfn.XLOOKUP(Tabla1[[#This Row],[Cedula agente]],Lista!$B$2:$B$97,Lista!$G$2:$G$97)," ")</f>
        <v>Luisa Fernanda Benavides Castrillon</v>
      </c>
      <c r="AR380" s="59" t="s">
        <v>162</v>
      </c>
      <c r="AS380" s="55" t="str">
        <f>IFERROR(_xlfn.XLOOKUP(Tabla1[[#This Row],[Cedula agente]],Lista!$B$2:$B$97,Lista!$F$2:$F$97)," ")</f>
        <v>John Sebastian Roncancio Avendaño</v>
      </c>
      <c r="AT380" s="99">
        <v>0.95</v>
      </c>
      <c r="AU380" s="200">
        <f>+WEEKNUM('Score BD'!$I380)-WEEKNUM(DATE(YEAR('Score BD'!$I380),MONTH('Score BD'!$I380),1))+1</f>
        <v>5</v>
      </c>
    </row>
    <row r="381" spans="1:47" ht="17.45" customHeight="1" x14ac:dyDescent="0.3">
      <c r="A381" s="49" t="str">
        <f t="shared" si="55"/>
        <v>Ministerio de Educación Nacional</v>
      </c>
      <c r="B381" s="50">
        <f>+IFERROR(COUNTIF($J$3:J381,J381)," ")</f>
        <v>14</v>
      </c>
      <c r="C381" s="54" t="str">
        <f>+'Score BD'!$J381&amp;'Score BD'!$B381</f>
        <v>Laura Ximena Sandoval Galindo14</v>
      </c>
      <c r="D381" s="91" t="s">
        <v>148</v>
      </c>
      <c r="E381" s="92" t="s">
        <v>208</v>
      </c>
      <c r="F381" s="92" t="s">
        <v>212</v>
      </c>
      <c r="G381" s="60" t="str">
        <f t="shared" si="56"/>
        <v>Noviembre</v>
      </c>
      <c r="H381" s="205">
        <v>45987</v>
      </c>
      <c r="I381" s="243">
        <v>45986</v>
      </c>
      <c r="J381" s="57" t="s">
        <v>201</v>
      </c>
      <c r="K381" s="54">
        <f>IFERROR(VLOOKUP('Score BD'!$J381,Lista!A:B,2,0)," ")</f>
        <v>1030678660</v>
      </c>
      <c r="L381" s="61" t="s">
        <v>648</v>
      </c>
      <c r="M381" s="59" t="s">
        <v>4</v>
      </c>
      <c r="N381" s="59" t="s">
        <v>4</v>
      </c>
      <c r="O381" s="59" t="s">
        <v>4</v>
      </c>
      <c r="P381" s="59" t="s">
        <v>4</v>
      </c>
      <c r="Q381" s="96">
        <f t="shared" si="57"/>
        <v>1</v>
      </c>
      <c r="R381" s="59" t="s">
        <v>4</v>
      </c>
      <c r="S381" s="59" t="s">
        <v>4</v>
      </c>
      <c r="T381" s="59" t="s">
        <v>4</v>
      </c>
      <c r="U381" s="59" t="s">
        <v>4</v>
      </c>
      <c r="V381" s="45">
        <f t="shared" si="58"/>
        <v>1</v>
      </c>
      <c r="W381" s="59" t="s">
        <v>4</v>
      </c>
      <c r="X381" s="59" t="s">
        <v>4</v>
      </c>
      <c r="Y381" s="59" t="s">
        <v>4</v>
      </c>
      <c r="Z381" s="59" t="s">
        <v>4</v>
      </c>
      <c r="AA381" s="59" t="s">
        <v>4</v>
      </c>
      <c r="AB381" s="59" t="s">
        <v>4</v>
      </c>
      <c r="AC381" s="45">
        <f t="shared" si="59"/>
        <v>1.000000000000002</v>
      </c>
      <c r="AD381" s="43" t="s">
        <v>4</v>
      </c>
      <c r="AE381" s="43" t="s">
        <v>4</v>
      </c>
      <c r="AF381" s="97">
        <f t="shared" si="60"/>
        <v>1</v>
      </c>
      <c r="AG381" s="44">
        <f t="shared" si="61"/>
        <v>1.0000000000000004</v>
      </c>
      <c r="AH381" s="55">
        <f t="shared" si="62"/>
        <v>0</v>
      </c>
      <c r="AI381" s="55">
        <f>COUNTIF('Score BD'!$M381:$P381,"no")</f>
        <v>0</v>
      </c>
      <c r="AJ381" s="55">
        <f t="shared" si="63"/>
        <v>0</v>
      </c>
      <c r="AK381" s="55">
        <f t="shared" si="64"/>
        <v>0</v>
      </c>
      <c r="AL381" s="55">
        <f t="shared" si="65"/>
        <v>0</v>
      </c>
      <c r="AM381" s="157" t="s">
        <v>715</v>
      </c>
      <c r="AN381" s="55"/>
      <c r="AO381" s="61"/>
      <c r="AP381" s="61"/>
      <c r="AQ381" s="59" t="str">
        <f>IFERROR(_xlfn.XLOOKUP(Tabla1[[#This Row],[Cedula agente]],Lista!$B$2:$B$97,Lista!$G$2:$G$97)," ")</f>
        <v>Luisa Fernanda Benavides Castrillon</v>
      </c>
      <c r="AR381" s="59" t="s">
        <v>162</v>
      </c>
      <c r="AS381" s="55" t="str">
        <f>IFERROR(_xlfn.XLOOKUP(Tabla1[[#This Row],[Cedula agente]],Lista!$B$2:$B$97,Lista!$F$2:$F$97)," ")</f>
        <v>John Sebastian Roncancio Avendaño</v>
      </c>
      <c r="AT381" s="99">
        <v>0.95</v>
      </c>
      <c r="AU381" s="200">
        <f>+WEEKNUM('Score BD'!$I381)-WEEKNUM(DATE(YEAR('Score BD'!$I381),MONTH('Score BD'!$I381),1))+1</f>
        <v>5</v>
      </c>
    </row>
    <row r="382" spans="1:47" ht="17.45" customHeight="1" x14ac:dyDescent="0.3">
      <c r="A382" s="49" t="str">
        <f t="shared" si="55"/>
        <v>Ministerio de Educación Nacional</v>
      </c>
      <c r="B382" s="50">
        <f>+IFERROR(COUNTIF($J$3:J382,J382)," ")</f>
        <v>30</v>
      </c>
      <c r="C382" s="54" t="str">
        <f>+'Score BD'!$J382&amp;'Score BD'!$B382</f>
        <v>Maira Alejandra Rodriguez Losada30</v>
      </c>
      <c r="D382" s="91" t="s">
        <v>148</v>
      </c>
      <c r="E382" s="92" t="s">
        <v>164</v>
      </c>
      <c r="F382" s="92" t="s">
        <v>212</v>
      </c>
      <c r="G382" s="60" t="str">
        <f t="shared" si="56"/>
        <v>Noviembre</v>
      </c>
      <c r="H382" s="205">
        <v>45987</v>
      </c>
      <c r="I382" s="243">
        <v>45986</v>
      </c>
      <c r="J382" s="57" t="s">
        <v>204</v>
      </c>
      <c r="K382" s="54">
        <f>IFERROR(VLOOKUP('Score BD'!$J382,Lista!A:B,2,0)," ")</f>
        <v>1075224344</v>
      </c>
      <c r="L382" s="61" t="s">
        <v>649</v>
      </c>
      <c r="M382" s="59" t="s">
        <v>4</v>
      </c>
      <c r="N382" s="59" t="s">
        <v>4</v>
      </c>
      <c r="O382" s="59" t="s">
        <v>4</v>
      </c>
      <c r="P382" s="59" t="s">
        <v>4</v>
      </c>
      <c r="Q382" s="96">
        <f t="shared" si="57"/>
        <v>1</v>
      </c>
      <c r="R382" s="59" t="s">
        <v>4</v>
      </c>
      <c r="S382" s="59" t="s">
        <v>4</v>
      </c>
      <c r="T382" s="59" t="s">
        <v>4</v>
      </c>
      <c r="U382" s="59" t="s">
        <v>4</v>
      </c>
      <c r="V382" s="45">
        <f t="shared" si="58"/>
        <v>1</v>
      </c>
      <c r="W382" s="59" t="s">
        <v>4</v>
      </c>
      <c r="X382" s="59" t="s">
        <v>4</v>
      </c>
      <c r="Y382" s="59" t="s">
        <v>4</v>
      </c>
      <c r="Z382" s="59" t="s">
        <v>4</v>
      </c>
      <c r="AA382" s="59" t="s">
        <v>4</v>
      </c>
      <c r="AB382" s="59" t="s">
        <v>4</v>
      </c>
      <c r="AC382" s="45">
        <f t="shared" si="59"/>
        <v>1.000000000000002</v>
      </c>
      <c r="AD382" s="43" t="s">
        <v>4</v>
      </c>
      <c r="AE382" s="43" t="s">
        <v>4</v>
      </c>
      <c r="AF382" s="97">
        <f t="shared" si="60"/>
        <v>1</v>
      </c>
      <c r="AG382" s="44">
        <f t="shared" si="61"/>
        <v>1.0000000000000004</v>
      </c>
      <c r="AH382" s="55">
        <f t="shared" si="62"/>
        <v>0</v>
      </c>
      <c r="AI382" s="55">
        <f>COUNTIF('Score BD'!$M382:$P382,"no")</f>
        <v>0</v>
      </c>
      <c r="AJ382" s="55">
        <f t="shared" si="63"/>
        <v>0</v>
      </c>
      <c r="AK382" s="55">
        <f t="shared" si="64"/>
        <v>0</v>
      </c>
      <c r="AL382" s="55">
        <f t="shared" si="65"/>
        <v>0</v>
      </c>
      <c r="AM382" s="157" t="s">
        <v>715</v>
      </c>
      <c r="AN382" s="55"/>
      <c r="AO382" s="61"/>
      <c r="AP382" s="61"/>
      <c r="AQ382" s="59" t="str">
        <f>IFERROR(_xlfn.XLOOKUP(Tabla1[[#This Row],[Cedula agente]],Lista!$B$2:$B$97,Lista!$G$2:$G$97)," ")</f>
        <v>Luisa Fernanda Benavides Castrillon</v>
      </c>
      <c r="AR382" s="59" t="s">
        <v>162</v>
      </c>
      <c r="AS382" s="55" t="str">
        <f>IFERROR(_xlfn.XLOOKUP(Tabla1[[#This Row],[Cedula agente]],Lista!$B$2:$B$97,Lista!$F$2:$F$97)," ")</f>
        <v>John Sebastian Roncancio Avendaño</v>
      </c>
      <c r="AT382" s="99">
        <v>0.95</v>
      </c>
      <c r="AU382" s="200">
        <f>+WEEKNUM('Score BD'!$I382)-WEEKNUM(DATE(YEAR('Score BD'!$I382),MONTH('Score BD'!$I382),1))+1</f>
        <v>5</v>
      </c>
    </row>
    <row r="383" spans="1:47" ht="17.45" customHeight="1" x14ac:dyDescent="0.3">
      <c r="A383" s="49" t="str">
        <f t="shared" si="55"/>
        <v>Ministerio de Educación Nacional</v>
      </c>
      <c r="B383" s="50">
        <f>+IFERROR(COUNTIF($J$3:J383,J383)," ")</f>
        <v>31</v>
      </c>
      <c r="C383" s="54" t="str">
        <f>+'Score BD'!$J383&amp;'Score BD'!$B383</f>
        <v>Maira Alejandra Rodriguez Losada31</v>
      </c>
      <c r="D383" s="91" t="s">
        <v>148</v>
      </c>
      <c r="E383" s="92" t="s">
        <v>164</v>
      </c>
      <c r="F383" s="92" t="s">
        <v>212</v>
      </c>
      <c r="G383" s="60" t="str">
        <f t="shared" si="56"/>
        <v>Noviembre</v>
      </c>
      <c r="H383" s="205">
        <v>45987</v>
      </c>
      <c r="I383" s="243">
        <v>45986</v>
      </c>
      <c r="J383" s="57" t="s">
        <v>204</v>
      </c>
      <c r="K383" s="54">
        <f>IFERROR(VLOOKUP('Score BD'!$J383,Lista!A:B,2,0)," ")</f>
        <v>1075224344</v>
      </c>
      <c r="L383" s="61" t="s">
        <v>650</v>
      </c>
      <c r="M383" s="59" t="s">
        <v>4</v>
      </c>
      <c r="N383" s="59" t="s">
        <v>4</v>
      </c>
      <c r="O383" s="59" t="s">
        <v>4</v>
      </c>
      <c r="P383" s="59" t="s">
        <v>4</v>
      </c>
      <c r="Q383" s="96">
        <f t="shared" si="57"/>
        <v>1</v>
      </c>
      <c r="R383" s="59" t="s">
        <v>4</v>
      </c>
      <c r="S383" s="59" t="s">
        <v>4</v>
      </c>
      <c r="T383" s="59" t="s">
        <v>4</v>
      </c>
      <c r="U383" s="59" t="s">
        <v>4</v>
      </c>
      <c r="V383" s="45">
        <f t="shared" si="58"/>
        <v>1</v>
      </c>
      <c r="W383" s="59" t="s">
        <v>4</v>
      </c>
      <c r="X383" s="59" t="s">
        <v>4</v>
      </c>
      <c r="Y383" s="59" t="s">
        <v>4</v>
      </c>
      <c r="Z383" s="59" t="s">
        <v>4</v>
      </c>
      <c r="AA383" s="59" t="s">
        <v>4</v>
      </c>
      <c r="AB383" s="59" t="s">
        <v>4</v>
      </c>
      <c r="AC383" s="45">
        <f t="shared" si="59"/>
        <v>1.000000000000002</v>
      </c>
      <c r="AD383" s="43" t="s">
        <v>4</v>
      </c>
      <c r="AE383" s="43" t="s">
        <v>4</v>
      </c>
      <c r="AF383" s="97">
        <f t="shared" si="60"/>
        <v>1</v>
      </c>
      <c r="AG383" s="44">
        <f t="shared" si="61"/>
        <v>1.0000000000000004</v>
      </c>
      <c r="AH383" s="55">
        <f t="shared" si="62"/>
        <v>0</v>
      </c>
      <c r="AI383" s="55">
        <f>COUNTIF('Score BD'!$M383:$P383,"no")</f>
        <v>0</v>
      </c>
      <c r="AJ383" s="55">
        <f t="shared" si="63"/>
        <v>0</v>
      </c>
      <c r="AK383" s="55">
        <f t="shared" si="64"/>
        <v>0</v>
      </c>
      <c r="AL383" s="55">
        <f t="shared" si="65"/>
        <v>0</v>
      </c>
      <c r="AM383" s="157" t="s">
        <v>715</v>
      </c>
      <c r="AN383" s="55"/>
      <c r="AO383" s="61"/>
      <c r="AP383" s="61"/>
      <c r="AQ383" s="59" t="str">
        <f>IFERROR(_xlfn.XLOOKUP(Tabla1[[#This Row],[Cedula agente]],Lista!$B$2:$B$97,Lista!$G$2:$G$97)," ")</f>
        <v>Luisa Fernanda Benavides Castrillon</v>
      </c>
      <c r="AR383" s="59" t="s">
        <v>162</v>
      </c>
      <c r="AS383" s="55" t="str">
        <f>IFERROR(_xlfn.XLOOKUP(Tabla1[[#This Row],[Cedula agente]],Lista!$B$2:$B$97,Lista!$F$2:$F$97)," ")</f>
        <v>John Sebastian Roncancio Avendaño</v>
      </c>
      <c r="AT383" s="99">
        <v>0.95</v>
      </c>
      <c r="AU383" s="200">
        <f>+WEEKNUM('Score BD'!$I383)-WEEKNUM(DATE(YEAR('Score BD'!$I383),MONTH('Score BD'!$I383),1))+1</f>
        <v>5</v>
      </c>
    </row>
    <row r="384" spans="1:47" ht="17.45" customHeight="1" x14ac:dyDescent="0.3">
      <c r="A384" s="49" t="str">
        <f t="shared" si="55"/>
        <v>Ministerio de Educación Nacional</v>
      </c>
      <c r="B384" s="50">
        <f>+IFERROR(COUNTIF($J$3:J384,J384)," ")</f>
        <v>29</v>
      </c>
      <c r="C384" s="54" t="str">
        <f>+'Score BD'!$J384&amp;'Score BD'!$B384</f>
        <v>María José Uribe Medina29</v>
      </c>
      <c r="D384" s="91" t="s">
        <v>148</v>
      </c>
      <c r="E384" s="92" t="s">
        <v>164</v>
      </c>
      <c r="F384" s="92" t="s">
        <v>212</v>
      </c>
      <c r="G384" s="60" t="str">
        <f t="shared" si="56"/>
        <v>Noviembre</v>
      </c>
      <c r="H384" s="205">
        <v>45987</v>
      </c>
      <c r="I384" s="243">
        <v>45986</v>
      </c>
      <c r="J384" s="57" t="s">
        <v>205</v>
      </c>
      <c r="K384" s="54">
        <f>IFERROR(VLOOKUP('Score BD'!$J384,Lista!A:B,2,0)," ")</f>
        <v>1121919150</v>
      </c>
      <c r="L384" s="61" t="s">
        <v>651</v>
      </c>
      <c r="M384" s="59" t="s">
        <v>4</v>
      </c>
      <c r="N384" s="59" t="s">
        <v>4</v>
      </c>
      <c r="O384" s="59" t="s">
        <v>4</v>
      </c>
      <c r="P384" s="59" t="s">
        <v>4</v>
      </c>
      <c r="Q384" s="96">
        <f t="shared" si="57"/>
        <v>1</v>
      </c>
      <c r="R384" s="59" t="s">
        <v>4</v>
      </c>
      <c r="S384" s="59" t="s">
        <v>4</v>
      </c>
      <c r="T384" s="59" t="s">
        <v>4</v>
      </c>
      <c r="U384" s="59" t="s">
        <v>4</v>
      </c>
      <c r="V384" s="45">
        <f t="shared" si="58"/>
        <v>1</v>
      </c>
      <c r="W384" s="59" t="s">
        <v>4</v>
      </c>
      <c r="X384" s="59" t="s">
        <v>4</v>
      </c>
      <c r="Y384" s="59" t="s">
        <v>4</v>
      </c>
      <c r="Z384" s="59" t="s">
        <v>4</v>
      </c>
      <c r="AA384" s="59" t="s">
        <v>4</v>
      </c>
      <c r="AB384" s="59" t="s">
        <v>4</v>
      </c>
      <c r="AC384" s="45">
        <f t="shared" si="59"/>
        <v>1.000000000000002</v>
      </c>
      <c r="AD384" s="43" t="s">
        <v>4</v>
      </c>
      <c r="AE384" s="43" t="s">
        <v>4</v>
      </c>
      <c r="AF384" s="97">
        <f t="shared" si="60"/>
        <v>1</v>
      </c>
      <c r="AG384" s="44">
        <f t="shared" si="61"/>
        <v>1.0000000000000004</v>
      </c>
      <c r="AH384" s="55">
        <f t="shared" si="62"/>
        <v>0</v>
      </c>
      <c r="AI384" s="55">
        <f>COUNTIF('Score BD'!$M384:$P384,"no")</f>
        <v>0</v>
      </c>
      <c r="AJ384" s="55">
        <f t="shared" si="63"/>
        <v>0</v>
      </c>
      <c r="AK384" s="55">
        <f t="shared" si="64"/>
        <v>0</v>
      </c>
      <c r="AL384" s="55">
        <f t="shared" si="65"/>
        <v>0</v>
      </c>
      <c r="AM384" s="157" t="s">
        <v>715</v>
      </c>
      <c r="AN384" s="55"/>
      <c r="AO384" s="61"/>
      <c r="AP384" s="61"/>
      <c r="AQ384" s="59" t="str">
        <f>IFERROR(_xlfn.XLOOKUP(Tabla1[[#This Row],[Cedula agente]],Lista!$B$2:$B$97,Lista!$G$2:$G$97)," ")</f>
        <v>Luisa Fernanda Benavides Castrillon</v>
      </c>
      <c r="AR384" s="59" t="s">
        <v>162</v>
      </c>
      <c r="AS384" s="55" t="str">
        <f>IFERROR(_xlfn.XLOOKUP(Tabla1[[#This Row],[Cedula agente]],Lista!$B$2:$B$97,Lista!$F$2:$F$97)," ")</f>
        <v>John Sebastian Roncancio Avendaño</v>
      </c>
      <c r="AT384" s="99">
        <v>0.95</v>
      </c>
      <c r="AU384" s="200">
        <f>+WEEKNUM('Score BD'!$I384)-WEEKNUM(DATE(YEAR('Score BD'!$I384),MONTH('Score BD'!$I384),1))+1</f>
        <v>5</v>
      </c>
    </row>
    <row r="385" spans="1:47" ht="17.45" customHeight="1" x14ac:dyDescent="0.3">
      <c r="A385" s="49" t="str">
        <f t="shared" si="55"/>
        <v>Ministerio de Educación Nacional</v>
      </c>
      <c r="B385" s="50">
        <f>+IFERROR(COUNTIF($J$3:J385,J385)," ")</f>
        <v>30</v>
      </c>
      <c r="C385" s="54" t="str">
        <f>+'Score BD'!$J385&amp;'Score BD'!$B385</f>
        <v>María José Uribe Medina30</v>
      </c>
      <c r="D385" s="91" t="s">
        <v>148</v>
      </c>
      <c r="E385" s="92" t="s">
        <v>164</v>
      </c>
      <c r="F385" s="92" t="s">
        <v>212</v>
      </c>
      <c r="G385" s="60" t="str">
        <f t="shared" si="56"/>
        <v>Noviembre</v>
      </c>
      <c r="H385" s="205">
        <v>45987</v>
      </c>
      <c r="I385" s="243">
        <v>45986</v>
      </c>
      <c r="J385" s="57" t="s">
        <v>205</v>
      </c>
      <c r="K385" s="54">
        <f>IFERROR(VLOOKUP('Score BD'!$J385,Lista!A:B,2,0)," ")</f>
        <v>1121919150</v>
      </c>
      <c r="L385" s="61" t="s">
        <v>652</v>
      </c>
      <c r="M385" s="59" t="s">
        <v>4</v>
      </c>
      <c r="N385" s="59" t="s">
        <v>4</v>
      </c>
      <c r="O385" s="59" t="s">
        <v>4</v>
      </c>
      <c r="P385" s="59" t="s">
        <v>4</v>
      </c>
      <c r="Q385" s="96">
        <f t="shared" si="57"/>
        <v>1</v>
      </c>
      <c r="R385" s="59" t="s">
        <v>4</v>
      </c>
      <c r="S385" s="59" t="s">
        <v>4</v>
      </c>
      <c r="T385" s="59" t="s">
        <v>4</v>
      </c>
      <c r="U385" s="59" t="s">
        <v>4</v>
      </c>
      <c r="V385" s="45">
        <f t="shared" si="58"/>
        <v>1</v>
      </c>
      <c r="W385" s="59" t="s">
        <v>4</v>
      </c>
      <c r="X385" s="59" t="s">
        <v>4</v>
      </c>
      <c r="Y385" s="59" t="s">
        <v>4</v>
      </c>
      <c r="Z385" s="59" t="s">
        <v>4</v>
      </c>
      <c r="AA385" s="59" t="s">
        <v>4</v>
      </c>
      <c r="AB385" s="59" t="s">
        <v>4</v>
      </c>
      <c r="AC385" s="45">
        <f t="shared" si="59"/>
        <v>1.000000000000002</v>
      </c>
      <c r="AD385" s="43" t="s">
        <v>4</v>
      </c>
      <c r="AE385" s="43" t="s">
        <v>4</v>
      </c>
      <c r="AF385" s="97">
        <f t="shared" si="60"/>
        <v>1</v>
      </c>
      <c r="AG385" s="44">
        <f t="shared" si="61"/>
        <v>1.0000000000000004</v>
      </c>
      <c r="AH385" s="55">
        <f t="shared" si="62"/>
        <v>0</v>
      </c>
      <c r="AI385" s="55">
        <f>COUNTIF('Score BD'!$M385:$P385,"no")</f>
        <v>0</v>
      </c>
      <c r="AJ385" s="55">
        <f t="shared" si="63"/>
        <v>0</v>
      </c>
      <c r="AK385" s="55">
        <f t="shared" si="64"/>
        <v>0</v>
      </c>
      <c r="AL385" s="55">
        <f t="shared" si="65"/>
        <v>0</v>
      </c>
      <c r="AM385" s="157" t="s">
        <v>715</v>
      </c>
      <c r="AN385" s="55"/>
      <c r="AO385" s="61"/>
      <c r="AP385" s="61"/>
      <c r="AQ385" s="59" t="str">
        <f>IFERROR(_xlfn.XLOOKUP(Tabla1[[#This Row],[Cedula agente]],Lista!$B$2:$B$97,Lista!$G$2:$G$97)," ")</f>
        <v>Luisa Fernanda Benavides Castrillon</v>
      </c>
      <c r="AR385" s="59" t="s">
        <v>162</v>
      </c>
      <c r="AS385" s="55" t="str">
        <f>IFERROR(_xlfn.XLOOKUP(Tabla1[[#This Row],[Cedula agente]],Lista!$B$2:$B$97,Lista!$F$2:$F$97)," ")</f>
        <v>John Sebastian Roncancio Avendaño</v>
      </c>
      <c r="AT385" s="99">
        <v>0.95</v>
      </c>
      <c r="AU385" s="200">
        <f>+WEEKNUM('Score BD'!$I385)-WEEKNUM(DATE(YEAR('Score BD'!$I385),MONTH('Score BD'!$I385),1))+1</f>
        <v>5</v>
      </c>
    </row>
    <row r="386" spans="1:47" ht="17.45" customHeight="1" x14ac:dyDescent="0.3">
      <c r="A386" s="49" t="str">
        <f t="shared" si="55"/>
        <v>Ministerio de Educación Nacional</v>
      </c>
      <c r="B386" s="50">
        <f>+IFERROR(COUNTIF($J$3:J386,J386)," ")</f>
        <v>29</v>
      </c>
      <c r="C386" s="54" t="str">
        <f>+'Score BD'!$J386&amp;'Score BD'!$B386</f>
        <v>Natalia Cañón Betancourt29</v>
      </c>
      <c r="D386" s="91" t="s">
        <v>148</v>
      </c>
      <c r="E386" s="92" t="s">
        <v>164</v>
      </c>
      <c r="F386" s="92" t="s">
        <v>212</v>
      </c>
      <c r="G386" s="60" t="str">
        <f t="shared" si="56"/>
        <v>Noviembre</v>
      </c>
      <c r="H386" s="205">
        <v>45987</v>
      </c>
      <c r="I386" s="243">
        <v>45986</v>
      </c>
      <c r="J386" s="57" t="s">
        <v>181</v>
      </c>
      <c r="K386" s="54">
        <f>IFERROR(VLOOKUP('Score BD'!$J386,Lista!A:B,2,0)," ")</f>
        <v>1000383417</v>
      </c>
      <c r="L386" s="61" t="s">
        <v>653</v>
      </c>
      <c r="M386" s="59" t="s">
        <v>4</v>
      </c>
      <c r="N386" s="59" t="s">
        <v>4</v>
      </c>
      <c r="O386" s="59" t="s">
        <v>4</v>
      </c>
      <c r="P386" s="59" t="s">
        <v>4</v>
      </c>
      <c r="Q386" s="96">
        <f t="shared" si="57"/>
        <v>1</v>
      </c>
      <c r="R386" s="59" t="s">
        <v>4</v>
      </c>
      <c r="S386" s="59" t="s">
        <v>4</v>
      </c>
      <c r="T386" s="59" t="s">
        <v>4</v>
      </c>
      <c r="U386" s="59" t="s">
        <v>4</v>
      </c>
      <c r="V386" s="45">
        <f t="shared" si="58"/>
        <v>1</v>
      </c>
      <c r="W386" s="59" t="s">
        <v>4</v>
      </c>
      <c r="X386" s="59" t="s">
        <v>4</v>
      </c>
      <c r="Y386" s="59" t="s">
        <v>4</v>
      </c>
      <c r="Z386" s="59" t="s">
        <v>4</v>
      </c>
      <c r="AA386" s="59" t="s">
        <v>4</v>
      </c>
      <c r="AB386" s="59" t="s">
        <v>4</v>
      </c>
      <c r="AC386" s="45">
        <f t="shared" si="59"/>
        <v>1.000000000000002</v>
      </c>
      <c r="AD386" s="43" t="s">
        <v>4</v>
      </c>
      <c r="AE386" s="43" t="s">
        <v>4</v>
      </c>
      <c r="AF386" s="97">
        <f t="shared" si="60"/>
        <v>1</v>
      </c>
      <c r="AG386" s="44">
        <f t="shared" si="61"/>
        <v>1.0000000000000004</v>
      </c>
      <c r="AH386" s="55">
        <f t="shared" si="62"/>
        <v>0</v>
      </c>
      <c r="AI386" s="55">
        <f>COUNTIF('Score BD'!$M386:$P386,"no")</f>
        <v>0</v>
      </c>
      <c r="AJ386" s="55">
        <f t="shared" si="63"/>
        <v>0</v>
      </c>
      <c r="AK386" s="55">
        <f t="shared" si="64"/>
        <v>0</v>
      </c>
      <c r="AL386" s="55">
        <f t="shared" si="65"/>
        <v>0</v>
      </c>
      <c r="AM386" s="157" t="s">
        <v>715</v>
      </c>
      <c r="AN386" s="55"/>
      <c r="AO386" s="61"/>
      <c r="AP386" s="61"/>
      <c r="AQ386" s="59" t="str">
        <f>IFERROR(_xlfn.XLOOKUP(Tabla1[[#This Row],[Cedula agente]],Lista!$B$2:$B$97,Lista!$G$2:$G$97)," ")</f>
        <v>Luisa Fernanda Benavides Castrillon</v>
      </c>
      <c r="AR386" s="59" t="s">
        <v>162</v>
      </c>
      <c r="AS386" s="55" t="str">
        <f>IFERROR(_xlfn.XLOOKUP(Tabla1[[#This Row],[Cedula agente]],Lista!$B$2:$B$97,Lista!$F$2:$F$97)," ")</f>
        <v>John Sebastian Roncancio Avendaño</v>
      </c>
      <c r="AT386" s="99">
        <v>0.95</v>
      </c>
      <c r="AU386" s="200">
        <f>+WEEKNUM('Score BD'!$I386)-WEEKNUM(DATE(YEAR('Score BD'!$I386),MONTH('Score BD'!$I386),1))+1</f>
        <v>5</v>
      </c>
    </row>
    <row r="387" spans="1:47" ht="17.45" customHeight="1" x14ac:dyDescent="0.3">
      <c r="A387" s="49" t="str">
        <f t="shared" si="55"/>
        <v>Ministerio de Educación Nacional</v>
      </c>
      <c r="B387" s="50">
        <f>+IFERROR(COUNTIF($J$3:J387,J387)," ")</f>
        <v>16</v>
      </c>
      <c r="C387" s="54" t="str">
        <f>+'Score BD'!$J387&amp;'Score BD'!$B387</f>
        <v>Valentina Castillo Rondón16</v>
      </c>
      <c r="D387" s="91" t="s">
        <v>148</v>
      </c>
      <c r="E387" s="92" t="s">
        <v>165</v>
      </c>
      <c r="F387" s="92" t="s">
        <v>212</v>
      </c>
      <c r="G387" s="60" t="str">
        <f t="shared" si="56"/>
        <v>Noviembre</v>
      </c>
      <c r="H387" s="205">
        <v>45987</v>
      </c>
      <c r="I387" s="243">
        <v>45986</v>
      </c>
      <c r="J387" s="57" t="s">
        <v>183</v>
      </c>
      <c r="K387" s="54">
        <f>IFERROR(VLOOKUP('Score BD'!$J387,Lista!A:B,2,0)," ")</f>
        <v>1121950095</v>
      </c>
      <c r="L387" s="61" t="s">
        <v>654</v>
      </c>
      <c r="M387" s="59" t="s">
        <v>4</v>
      </c>
      <c r="N387" s="59" t="s">
        <v>4</v>
      </c>
      <c r="O387" s="59" t="s">
        <v>4</v>
      </c>
      <c r="P387" s="59" t="s">
        <v>4</v>
      </c>
      <c r="Q387" s="96">
        <f t="shared" si="57"/>
        <v>1</v>
      </c>
      <c r="R387" s="59" t="s">
        <v>4</v>
      </c>
      <c r="S387" s="59" t="s">
        <v>4</v>
      </c>
      <c r="T387" s="59" t="s">
        <v>4</v>
      </c>
      <c r="U387" s="59" t="s">
        <v>4</v>
      </c>
      <c r="V387" s="45">
        <f t="shared" si="58"/>
        <v>1</v>
      </c>
      <c r="W387" s="59" t="s">
        <v>4</v>
      </c>
      <c r="X387" s="59" t="s">
        <v>4</v>
      </c>
      <c r="Y387" s="59" t="s">
        <v>4</v>
      </c>
      <c r="Z387" s="59" t="s">
        <v>4</v>
      </c>
      <c r="AA387" s="59" t="s">
        <v>4</v>
      </c>
      <c r="AB387" s="59" t="s">
        <v>4</v>
      </c>
      <c r="AC387" s="45">
        <f t="shared" si="59"/>
        <v>1.000000000000002</v>
      </c>
      <c r="AD387" s="43" t="s">
        <v>4</v>
      </c>
      <c r="AE387" s="43" t="s">
        <v>4</v>
      </c>
      <c r="AF387" s="97">
        <f t="shared" si="60"/>
        <v>1</v>
      </c>
      <c r="AG387" s="44">
        <f t="shared" si="61"/>
        <v>1.0000000000000004</v>
      </c>
      <c r="AH387" s="55">
        <f t="shared" si="62"/>
        <v>0</v>
      </c>
      <c r="AI387" s="55">
        <f>COUNTIF('Score BD'!$M387:$P387,"no")</f>
        <v>0</v>
      </c>
      <c r="AJ387" s="55">
        <f t="shared" si="63"/>
        <v>0</v>
      </c>
      <c r="AK387" s="55">
        <f t="shared" si="64"/>
        <v>0</v>
      </c>
      <c r="AL387" s="55">
        <f t="shared" si="65"/>
        <v>0</v>
      </c>
      <c r="AM387" s="157" t="s">
        <v>715</v>
      </c>
      <c r="AN387" s="55"/>
      <c r="AO387" s="61"/>
      <c r="AP387" s="61"/>
      <c r="AQ387" s="59" t="str">
        <f>IFERROR(_xlfn.XLOOKUP(Tabla1[[#This Row],[Cedula agente]],Lista!$B$2:$B$97,Lista!$G$2:$G$97)," ")</f>
        <v>Luisa Fernanda Benavides Castrillon</v>
      </c>
      <c r="AR387" s="59" t="s">
        <v>162</v>
      </c>
      <c r="AS387" s="55" t="str">
        <f>IFERROR(_xlfn.XLOOKUP(Tabla1[[#This Row],[Cedula agente]],Lista!$B$2:$B$97,Lista!$F$2:$F$97)," ")</f>
        <v>John Sebastian Roncancio Avendaño</v>
      </c>
      <c r="AT387" s="99">
        <v>0.95</v>
      </c>
      <c r="AU387" s="200">
        <f>+WEEKNUM('Score BD'!$I387)-WEEKNUM(DATE(YEAR('Score BD'!$I387),MONTH('Score BD'!$I387),1))+1</f>
        <v>5</v>
      </c>
    </row>
    <row r="388" spans="1:47" ht="17.45" customHeight="1" x14ac:dyDescent="0.3">
      <c r="A388" s="49" t="str">
        <f t="shared" ref="A388:A451" si="66">+IF(B388&gt;0,"Ministerio de Educación Nacional"," ")</f>
        <v>Ministerio de Educación Nacional</v>
      </c>
      <c r="B388" s="50">
        <f>+IFERROR(COUNTIF($J$3:J388,J388)," ")</f>
        <v>17</v>
      </c>
      <c r="C388" s="54" t="str">
        <f>+'Score BD'!$J388&amp;'Score BD'!$B388</f>
        <v>Yenny Maribel Duran Ovejero17</v>
      </c>
      <c r="D388" s="91" t="s">
        <v>148</v>
      </c>
      <c r="E388" s="92" t="s">
        <v>165</v>
      </c>
      <c r="F388" s="92" t="s">
        <v>212</v>
      </c>
      <c r="G388" s="60" t="str">
        <f t="shared" ref="G388:G451" si="67">+PROPER(TEXT(H388,"mmmm"))</f>
        <v>Noviembre</v>
      </c>
      <c r="H388" s="205">
        <v>45987</v>
      </c>
      <c r="I388" s="243">
        <v>45986</v>
      </c>
      <c r="J388" s="57" t="s">
        <v>206</v>
      </c>
      <c r="K388" s="54">
        <f>IFERROR(VLOOKUP('Score BD'!$J388,Lista!A:B,2,0)," ")</f>
        <v>52962387</v>
      </c>
      <c r="L388" s="61" t="s">
        <v>655</v>
      </c>
      <c r="M388" s="59" t="s">
        <v>4</v>
      </c>
      <c r="N388" s="59" t="s">
        <v>4</v>
      </c>
      <c r="O388" s="59" t="s">
        <v>4</v>
      </c>
      <c r="P388" s="59" t="s">
        <v>4</v>
      </c>
      <c r="Q388" s="96">
        <f t="shared" ref="Q388:Q451" si="68">+IF(M388="NO",0,25%)+IF(N388="NO",0,25%)+IF(O388="NO",0,25%)+IF(P388="NO",0,25%)</f>
        <v>1</v>
      </c>
      <c r="R388" s="59" t="s">
        <v>4</v>
      </c>
      <c r="S388" s="59" t="s">
        <v>4</v>
      </c>
      <c r="T388" s="59" t="s">
        <v>4</v>
      </c>
      <c r="U388" s="59" t="s">
        <v>4</v>
      </c>
      <c r="V388" s="45">
        <f t="shared" ref="V388:V451" si="69">+IF(R388="NO",0,25%)+IF(S388="NO",0,25%)+IF(T388="NO",0,25%)+IF(U388="NO",0,25%)</f>
        <v>1</v>
      </c>
      <c r="W388" s="59" t="s">
        <v>4</v>
      </c>
      <c r="X388" s="59" t="s">
        <v>4</v>
      </c>
      <c r="Y388" s="59" t="s">
        <v>4</v>
      </c>
      <c r="Z388" s="59" t="s">
        <v>4</v>
      </c>
      <c r="AA388" s="59" t="s">
        <v>4</v>
      </c>
      <c r="AB388" s="59" t="s">
        <v>4</v>
      </c>
      <c r="AC388" s="45">
        <f t="shared" ref="AC388:AC451" si="70">+IF(W388="NO",0%,16.6666666666667%)+IF(X388="NO",0%,16.6666666666667%)+IF(Y388="NO",0%,16.6666666666667%)+IF(Z388="NO",0%,16.6666666666667%)+IF(AA388="NO",0%,16.6666666666667%)+IF(AB388="NO",0%,16.6666666666667%)</f>
        <v>1.000000000000002</v>
      </c>
      <c r="AD388" s="43" t="s">
        <v>4</v>
      </c>
      <c r="AE388" s="43" t="s">
        <v>4</v>
      </c>
      <c r="AF388" s="97">
        <f t="shared" ref="AF388:AF451" si="71">+IF(AD388="NO",0%,50%)+IF(AE388="NO",0%,50%)</f>
        <v>1</v>
      </c>
      <c r="AG388" s="44">
        <f t="shared" ref="AG388:AG451" si="72">AVERAGE(AF388,AC388,V388,Q388)</f>
        <v>1.0000000000000004</v>
      </c>
      <c r="AH388" s="55">
        <f t="shared" ref="AH388:AH451" si="73">+COUNTIF(W388:AB388,"no")+COUNTIF(R388:U388,"no")+COUNTIF(AD388:AE388,"no")</f>
        <v>0</v>
      </c>
      <c r="AI388" s="55">
        <f>COUNTIF('Score BD'!$M388:$P388,"no")</f>
        <v>0</v>
      </c>
      <c r="AJ388" s="55">
        <f t="shared" ref="AJ388:AJ451" si="74">+IF(COUNTA(R388:U388)=0,"-",COUNTIF(R388:U388,"NO"))</f>
        <v>0</v>
      </c>
      <c r="AK388" s="55">
        <f t="shared" ref="AK388:AK451" si="75">+IF(COUNTA(W388:AB388)=0,"-",COUNTIF(W388:AB388,"NO"))</f>
        <v>0</v>
      </c>
      <c r="AL388" s="55">
        <f t="shared" ref="AL388:AL451" si="76">+IF(COUNTA(AD388:AE388)=0,"-",COUNTIF(AD388:AE388,"NO"))</f>
        <v>0</v>
      </c>
      <c r="AM388" s="157" t="s">
        <v>715</v>
      </c>
      <c r="AN388" s="55"/>
      <c r="AO388" s="61"/>
      <c r="AP388" s="61"/>
      <c r="AQ388" s="59" t="str">
        <f>IFERROR(_xlfn.XLOOKUP(Tabla1[[#This Row],[Cedula agente]],Lista!$B$2:$B$97,Lista!$G$2:$G$97)," ")</f>
        <v>Luisa Fernanda Benavides Castrillon</v>
      </c>
      <c r="AR388" s="59" t="s">
        <v>162</v>
      </c>
      <c r="AS388" s="55" t="str">
        <f>IFERROR(_xlfn.XLOOKUP(Tabla1[[#This Row],[Cedula agente]],Lista!$B$2:$B$97,Lista!$F$2:$F$97)," ")</f>
        <v>John Sebastian Roncancio Avendaño</v>
      </c>
      <c r="AT388" s="99">
        <v>0.95</v>
      </c>
      <c r="AU388" s="200">
        <f>+WEEKNUM('Score BD'!$I388)-WEEKNUM(DATE(YEAR('Score BD'!$I388),MONTH('Score BD'!$I388),1))+1</f>
        <v>5</v>
      </c>
    </row>
    <row r="389" spans="1:47" ht="17.45" customHeight="1" x14ac:dyDescent="0.3">
      <c r="A389" s="49" t="str">
        <f t="shared" si="66"/>
        <v>Ministerio de Educación Nacional</v>
      </c>
      <c r="B389" s="50">
        <f>+IFERROR(COUNTIF($J$3:J389,J389)," ")</f>
        <v>18</v>
      </c>
      <c r="C389" s="54" t="str">
        <f>+'Score BD'!$J389&amp;'Score BD'!$B389</f>
        <v>Yenny Maribel Duran Ovejero18</v>
      </c>
      <c r="D389" s="91" t="s">
        <v>148</v>
      </c>
      <c r="E389" s="92" t="s">
        <v>165</v>
      </c>
      <c r="F389" s="92" t="s">
        <v>212</v>
      </c>
      <c r="G389" s="60" t="str">
        <f t="shared" si="67"/>
        <v>Noviembre</v>
      </c>
      <c r="H389" s="205">
        <v>45987</v>
      </c>
      <c r="I389" s="243">
        <v>45986</v>
      </c>
      <c r="J389" s="57" t="s">
        <v>206</v>
      </c>
      <c r="K389" s="54">
        <f>IFERROR(VLOOKUP('Score BD'!$J389,Lista!A:B,2,0)," ")</f>
        <v>52962387</v>
      </c>
      <c r="L389" s="61" t="s">
        <v>656</v>
      </c>
      <c r="M389" s="59" t="s">
        <v>4</v>
      </c>
      <c r="N389" s="59" t="s">
        <v>4</v>
      </c>
      <c r="O389" s="59" t="s">
        <v>4</v>
      </c>
      <c r="P389" s="59" t="s">
        <v>4</v>
      </c>
      <c r="Q389" s="96">
        <f t="shared" si="68"/>
        <v>1</v>
      </c>
      <c r="R389" s="59" t="s">
        <v>4</v>
      </c>
      <c r="S389" s="59" t="s">
        <v>4</v>
      </c>
      <c r="T389" s="59" t="s">
        <v>4</v>
      </c>
      <c r="U389" s="59" t="s">
        <v>4</v>
      </c>
      <c r="V389" s="45">
        <f t="shared" si="69"/>
        <v>1</v>
      </c>
      <c r="W389" s="59" t="s">
        <v>4</v>
      </c>
      <c r="X389" s="59" t="s">
        <v>4</v>
      </c>
      <c r="Y389" s="59" t="s">
        <v>4</v>
      </c>
      <c r="Z389" s="59" t="s">
        <v>4</v>
      </c>
      <c r="AA389" s="59" t="s">
        <v>4</v>
      </c>
      <c r="AB389" s="59" t="s">
        <v>4</v>
      </c>
      <c r="AC389" s="45">
        <f t="shared" si="70"/>
        <v>1.000000000000002</v>
      </c>
      <c r="AD389" s="43" t="s">
        <v>4</v>
      </c>
      <c r="AE389" s="43" t="s">
        <v>4</v>
      </c>
      <c r="AF389" s="97">
        <f t="shared" si="71"/>
        <v>1</v>
      </c>
      <c r="AG389" s="44">
        <f t="shared" si="72"/>
        <v>1.0000000000000004</v>
      </c>
      <c r="AH389" s="55">
        <f t="shared" si="73"/>
        <v>0</v>
      </c>
      <c r="AI389" s="55">
        <f>COUNTIF('Score BD'!$M389:$P389,"no")</f>
        <v>0</v>
      </c>
      <c r="AJ389" s="55">
        <f t="shared" si="74"/>
        <v>0</v>
      </c>
      <c r="AK389" s="55">
        <f t="shared" si="75"/>
        <v>0</v>
      </c>
      <c r="AL389" s="55">
        <f t="shared" si="76"/>
        <v>0</v>
      </c>
      <c r="AM389" s="157" t="s">
        <v>715</v>
      </c>
      <c r="AN389" s="157"/>
      <c r="AO389" s="157"/>
      <c r="AP389" s="157"/>
      <c r="AQ389" s="59" t="str">
        <f>IFERROR(_xlfn.XLOOKUP(Tabla1[[#This Row],[Cedula agente]],Lista!$B$2:$B$97,Lista!$G$2:$G$97)," ")</f>
        <v>Luisa Fernanda Benavides Castrillon</v>
      </c>
      <c r="AR389" s="59" t="s">
        <v>162</v>
      </c>
      <c r="AS389" s="55" t="str">
        <f>IFERROR(_xlfn.XLOOKUP(Tabla1[[#This Row],[Cedula agente]],Lista!$B$2:$B$97,Lista!$F$2:$F$97)," ")</f>
        <v>John Sebastian Roncancio Avendaño</v>
      </c>
      <c r="AT389" s="99">
        <v>0.95</v>
      </c>
      <c r="AU389" s="200">
        <f>+WEEKNUM('Score BD'!$I389)-WEEKNUM(DATE(YEAR('Score BD'!$I389),MONTH('Score BD'!$I389),1))+1</f>
        <v>5</v>
      </c>
    </row>
    <row r="390" spans="1:47" ht="17.45" customHeight="1" x14ac:dyDescent="0.3">
      <c r="A390" s="49" t="str">
        <f t="shared" si="66"/>
        <v>Ministerio de Educación Nacional</v>
      </c>
      <c r="B390" s="50">
        <f>+IFERROR(COUNTIF($J$3:J390,J390)," ")</f>
        <v>43</v>
      </c>
      <c r="C390" s="54" t="str">
        <f>+'Score BD'!$J390&amp;'Score BD'!$B390</f>
        <v>Ana Graciela Barbosa Villalobos43</v>
      </c>
      <c r="D390" s="91" t="s">
        <v>148</v>
      </c>
      <c r="E390" s="92" t="s">
        <v>210</v>
      </c>
      <c r="F390" s="92" t="s">
        <v>212</v>
      </c>
      <c r="G390" s="60" t="str">
        <f t="shared" si="67"/>
        <v>Noviembre</v>
      </c>
      <c r="H390" s="205">
        <v>45988</v>
      </c>
      <c r="I390" s="243">
        <v>45987</v>
      </c>
      <c r="J390" s="57" t="s">
        <v>171</v>
      </c>
      <c r="K390" s="54">
        <f>IFERROR(VLOOKUP('Score BD'!$J390,Lista!A:B,2,0)," ")</f>
        <v>1026264261</v>
      </c>
      <c r="L390" s="61" t="s">
        <v>657</v>
      </c>
      <c r="M390" s="59" t="s">
        <v>4</v>
      </c>
      <c r="N390" s="59" t="s">
        <v>4</v>
      </c>
      <c r="O390" s="59" t="s">
        <v>4</v>
      </c>
      <c r="P390" s="59" t="s">
        <v>4</v>
      </c>
      <c r="Q390" s="96">
        <f t="shared" si="68"/>
        <v>1</v>
      </c>
      <c r="R390" s="59" t="s">
        <v>4</v>
      </c>
      <c r="S390" s="59" t="s">
        <v>4</v>
      </c>
      <c r="T390" s="59" t="s">
        <v>4</v>
      </c>
      <c r="U390" s="59" t="s">
        <v>4</v>
      </c>
      <c r="V390" s="45">
        <f t="shared" si="69"/>
        <v>1</v>
      </c>
      <c r="W390" s="59" t="s">
        <v>4</v>
      </c>
      <c r="X390" s="59" t="s">
        <v>4</v>
      </c>
      <c r="Y390" s="59" t="s">
        <v>4</v>
      </c>
      <c r="Z390" s="59" t="s">
        <v>4</v>
      </c>
      <c r="AA390" s="59" t="s">
        <v>4</v>
      </c>
      <c r="AB390" s="59" t="s">
        <v>4</v>
      </c>
      <c r="AC390" s="45">
        <f t="shared" si="70"/>
        <v>1.000000000000002</v>
      </c>
      <c r="AD390" s="43" t="s">
        <v>4</v>
      </c>
      <c r="AE390" s="43" t="s">
        <v>4</v>
      </c>
      <c r="AF390" s="97">
        <f t="shared" si="71"/>
        <v>1</v>
      </c>
      <c r="AG390" s="44">
        <f t="shared" si="72"/>
        <v>1.0000000000000004</v>
      </c>
      <c r="AH390" s="55">
        <f t="shared" si="73"/>
        <v>0</v>
      </c>
      <c r="AI390" s="55">
        <f>COUNTIF('Score BD'!$M390:$P390,"no")</f>
        <v>0</v>
      </c>
      <c r="AJ390" s="55">
        <f t="shared" si="74"/>
        <v>0</v>
      </c>
      <c r="AK390" s="55">
        <f t="shared" si="75"/>
        <v>0</v>
      </c>
      <c r="AL390" s="55">
        <f t="shared" si="76"/>
        <v>0</v>
      </c>
      <c r="AM390" s="157" t="s">
        <v>716</v>
      </c>
      <c r="AN390" s="55"/>
      <c r="AO390" s="61"/>
      <c r="AP390" s="61"/>
      <c r="AQ390" s="59" t="str">
        <f>IFERROR(_xlfn.XLOOKUP(Tabla1[[#This Row],[Cedula agente]],Lista!$B$2:$B$97,Lista!$G$2:$G$97)," ")</f>
        <v>Luisa Fernanda Benavides Castrillon</v>
      </c>
      <c r="AR390" s="59" t="s">
        <v>162</v>
      </c>
      <c r="AS390" s="55" t="str">
        <f>IFERROR(_xlfn.XLOOKUP(Tabla1[[#This Row],[Cedula agente]],Lista!$B$2:$B$97,Lista!$F$2:$F$97)," ")</f>
        <v>John Sebastian Roncancio Avendaño</v>
      </c>
      <c r="AT390" s="99">
        <v>0.95</v>
      </c>
      <c r="AU390" s="200">
        <f>+WEEKNUM('Score BD'!$I390)-WEEKNUM(DATE(YEAR('Score BD'!$I390),MONTH('Score BD'!$I390),1))+1</f>
        <v>5</v>
      </c>
    </row>
    <row r="391" spans="1:47" ht="17.45" customHeight="1" x14ac:dyDescent="0.3">
      <c r="A391" s="49" t="str">
        <f t="shared" si="66"/>
        <v>Ministerio de Educación Nacional</v>
      </c>
      <c r="B391" s="50">
        <f>+IFERROR(COUNTIF($J$3:J391,J391)," ")</f>
        <v>44</v>
      </c>
      <c r="C391" s="54" t="str">
        <f>+'Score BD'!$J391&amp;'Score BD'!$B391</f>
        <v>Ana Graciela Barbosa Villalobos44</v>
      </c>
      <c r="D391" s="91" t="s">
        <v>148</v>
      </c>
      <c r="E391" s="92" t="s">
        <v>210</v>
      </c>
      <c r="F391" s="92" t="s">
        <v>212</v>
      </c>
      <c r="G391" s="60" t="str">
        <f t="shared" si="67"/>
        <v>Noviembre</v>
      </c>
      <c r="H391" s="205">
        <v>45988</v>
      </c>
      <c r="I391" s="243">
        <v>45987</v>
      </c>
      <c r="J391" s="57" t="s">
        <v>171</v>
      </c>
      <c r="K391" s="54">
        <f>IFERROR(VLOOKUP('Score BD'!$J391,Lista!A:B,2,0)," ")</f>
        <v>1026264261</v>
      </c>
      <c r="L391" s="61" t="s">
        <v>658</v>
      </c>
      <c r="M391" s="59" t="s">
        <v>4</v>
      </c>
      <c r="N391" s="59" t="s">
        <v>4</v>
      </c>
      <c r="O391" s="59" t="s">
        <v>4</v>
      </c>
      <c r="P391" s="59" t="s">
        <v>4</v>
      </c>
      <c r="Q391" s="96">
        <f t="shared" si="68"/>
        <v>1</v>
      </c>
      <c r="R391" s="59" t="s">
        <v>4</v>
      </c>
      <c r="S391" s="59" t="s">
        <v>4</v>
      </c>
      <c r="T391" s="59" t="s">
        <v>4</v>
      </c>
      <c r="U391" s="59" t="s">
        <v>4</v>
      </c>
      <c r="V391" s="45">
        <f t="shared" si="69"/>
        <v>1</v>
      </c>
      <c r="W391" s="59" t="s">
        <v>4</v>
      </c>
      <c r="X391" s="59" t="s">
        <v>4</v>
      </c>
      <c r="Y391" s="59" t="s">
        <v>4</v>
      </c>
      <c r="Z391" s="59" t="s">
        <v>4</v>
      </c>
      <c r="AA391" s="59" t="s">
        <v>4</v>
      </c>
      <c r="AB391" s="59" t="s">
        <v>4</v>
      </c>
      <c r="AC391" s="45">
        <f t="shared" si="70"/>
        <v>1.000000000000002</v>
      </c>
      <c r="AD391" s="43" t="s">
        <v>4</v>
      </c>
      <c r="AE391" s="43" t="s">
        <v>4</v>
      </c>
      <c r="AF391" s="97">
        <f t="shared" si="71"/>
        <v>1</v>
      </c>
      <c r="AG391" s="44">
        <f t="shared" si="72"/>
        <v>1.0000000000000004</v>
      </c>
      <c r="AH391" s="55">
        <f t="shared" si="73"/>
        <v>0</v>
      </c>
      <c r="AI391" s="55">
        <f>COUNTIF('Score BD'!$M391:$P391,"no")</f>
        <v>0</v>
      </c>
      <c r="AJ391" s="55">
        <f t="shared" si="74"/>
        <v>0</v>
      </c>
      <c r="AK391" s="55">
        <f t="shared" si="75"/>
        <v>0</v>
      </c>
      <c r="AL391" s="55">
        <f t="shared" si="76"/>
        <v>0</v>
      </c>
      <c r="AM391" s="157" t="s">
        <v>716</v>
      </c>
      <c r="AN391" s="55"/>
      <c r="AO391" s="61"/>
      <c r="AP391" s="61"/>
      <c r="AQ391" s="59" t="str">
        <f>IFERROR(_xlfn.XLOOKUP(Tabla1[[#This Row],[Cedula agente]],Lista!$B$2:$B$97,Lista!$G$2:$G$97)," ")</f>
        <v>Luisa Fernanda Benavides Castrillon</v>
      </c>
      <c r="AR391" s="59" t="s">
        <v>162</v>
      </c>
      <c r="AS391" s="55" t="str">
        <f>IFERROR(_xlfn.XLOOKUP(Tabla1[[#This Row],[Cedula agente]],Lista!$B$2:$B$97,Lista!$F$2:$F$97)," ")</f>
        <v>John Sebastian Roncancio Avendaño</v>
      </c>
      <c r="AT391" s="99">
        <v>0.95</v>
      </c>
      <c r="AU391" s="200">
        <f>+WEEKNUM('Score BD'!$I391)-WEEKNUM(DATE(YEAR('Score BD'!$I391),MONTH('Score BD'!$I391),1))+1</f>
        <v>5</v>
      </c>
    </row>
    <row r="392" spans="1:47" ht="17.45" customHeight="1" x14ac:dyDescent="0.3">
      <c r="A392" s="49" t="str">
        <f t="shared" si="66"/>
        <v>Ministerio de Educación Nacional</v>
      </c>
      <c r="B392" s="50">
        <f>+IFERROR(COUNTIF($J$3:J392,J392)," ")</f>
        <v>45</v>
      </c>
      <c r="C392" s="54" t="str">
        <f>+'Score BD'!$J392&amp;'Score BD'!$B392</f>
        <v>Ana Graciela Barbosa Villalobos45</v>
      </c>
      <c r="D392" s="91" t="s">
        <v>148</v>
      </c>
      <c r="E392" s="92" t="s">
        <v>210</v>
      </c>
      <c r="F392" s="92" t="s">
        <v>212</v>
      </c>
      <c r="G392" s="60" t="str">
        <f t="shared" si="67"/>
        <v>Noviembre</v>
      </c>
      <c r="H392" s="205">
        <v>45988</v>
      </c>
      <c r="I392" s="243">
        <v>45987</v>
      </c>
      <c r="J392" s="57" t="s">
        <v>171</v>
      </c>
      <c r="K392" s="54">
        <f>IFERROR(VLOOKUP('Score BD'!$J392,Lista!A:B,2,0)," ")</f>
        <v>1026264261</v>
      </c>
      <c r="L392" s="61" t="s">
        <v>659</v>
      </c>
      <c r="M392" s="59" t="s">
        <v>4</v>
      </c>
      <c r="N392" s="59" t="s">
        <v>4</v>
      </c>
      <c r="O392" s="59" t="s">
        <v>4</v>
      </c>
      <c r="P392" s="59" t="s">
        <v>4</v>
      </c>
      <c r="Q392" s="96">
        <f t="shared" si="68"/>
        <v>1</v>
      </c>
      <c r="R392" s="59" t="s">
        <v>4</v>
      </c>
      <c r="S392" s="59" t="s">
        <v>4</v>
      </c>
      <c r="T392" s="59" t="s">
        <v>4</v>
      </c>
      <c r="U392" s="59" t="s">
        <v>4</v>
      </c>
      <c r="V392" s="45">
        <f t="shared" si="69"/>
        <v>1</v>
      </c>
      <c r="W392" s="59" t="s">
        <v>4</v>
      </c>
      <c r="X392" s="59" t="s">
        <v>4</v>
      </c>
      <c r="Y392" s="59" t="s">
        <v>4</v>
      </c>
      <c r="Z392" s="59" t="s">
        <v>4</v>
      </c>
      <c r="AA392" s="59" t="s">
        <v>4</v>
      </c>
      <c r="AB392" s="59" t="s">
        <v>4</v>
      </c>
      <c r="AC392" s="45">
        <f t="shared" si="70"/>
        <v>1.000000000000002</v>
      </c>
      <c r="AD392" s="43" t="s">
        <v>4</v>
      </c>
      <c r="AE392" s="43" t="s">
        <v>4</v>
      </c>
      <c r="AF392" s="97">
        <f t="shared" si="71"/>
        <v>1</v>
      </c>
      <c r="AG392" s="44">
        <f t="shared" si="72"/>
        <v>1.0000000000000004</v>
      </c>
      <c r="AH392" s="55">
        <f t="shared" si="73"/>
        <v>0</v>
      </c>
      <c r="AI392" s="55">
        <f>COUNTIF('Score BD'!$M392:$P392,"no")</f>
        <v>0</v>
      </c>
      <c r="AJ392" s="55">
        <f t="shared" si="74"/>
        <v>0</v>
      </c>
      <c r="AK392" s="55">
        <f t="shared" si="75"/>
        <v>0</v>
      </c>
      <c r="AL392" s="55">
        <f t="shared" si="76"/>
        <v>0</v>
      </c>
      <c r="AM392" s="157" t="s">
        <v>716</v>
      </c>
      <c r="AN392" s="55"/>
      <c r="AO392" s="61"/>
      <c r="AP392" s="61"/>
      <c r="AQ392" s="59" t="str">
        <f>IFERROR(_xlfn.XLOOKUP(Tabla1[[#This Row],[Cedula agente]],Lista!$B$2:$B$97,Lista!$G$2:$G$97)," ")</f>
        <v>Luisa Fernanda Benavides Castrillon</v>
      </c>
      <c r="AR392" s="59" t="s">
        <v>162</v>
      </c>
      <c r="AS392" s="55" t="str">
        <f>IFERROR(_xlfn.XLOOKUP(Tabla1[[#This Row],[Cedula agente]],Lista!$B$2:$B$97,Lista!$F$2:$F$97)," ")</f>
        <v>John Sebastian Roncancio Avendaño</v>
      </c>
      <c r="AT392" s="99">
        <v>0.95</v>
      </c>
      <c r="AU392" s="200">
        <f>+WEEKNUM('Score BD'!$I392)-WEEKNUM(DATE(YEAR('Score BD'!$I392),MONTH('Score BD'!$I392),1))+1</f>
        <v>5</v>
      </c>
    </row>
    <row r="393" spans="1:47" ht="17.45" customHeight="1" x14ac:dyDescent="0.3">
      <c r="A393" s="49" t="str">
        <f t="shared" si="66"/>
        <v>Ministerio de Educación Nacional</v>
      </c>
      <c r="B393" s="50">
        <f>+IFERROR(COUNTIF($J$3:J393,J393)," ")</f>
        <v>13</v>
      </c>
      <c r="C393" s="54" t="str">
        <f>+'Score BD'!$J393&amp;'Score BD'!$B393</f>
        <v>Andrés Felipe Silva Martínez13</v>
      </c>
      <c r="D393" s="91" t="s">
        <v>148</v>
      </c>
      <c r="E393" s="92" t="s">
        <v>208</v>
      </c>
      <c r="F393" s="92" t="s">
        <v>212</v>
      </c>
      <c r="G393" s="60" t="str">
        <f t="shared" si="67"/>
        <v>Noviembre</v>
      </c>
      <c r="H393" s="205">
        <v>45988</v>
      </c>
      <c r="I393" s="243">
        <v>45987</v>
      </c>
      <c r="J393" s="57" t="s">
        <v>228</v>
      </c>
      <c r="K393" s="54">
        <f>IFERROR(VLOOKUP('Score BD'!$J393,Lista!A:B,2,0)," ")</f>
        <v>1120362660</v>
      </c>
      <c r="L393" s="61" t="s">
        <v>660</v>
      </c>
      <c r="M393" s="59" t="s">
        <v>4</v>
      </c>
      <c r="N393" s="59" t="s">
        <v>4</v>
      </c>
      <c r="O393" s="59" t="s">
        <v>4</v>
      </c>
      <c r="P393" s="59" t="s">
        <v>4</v>
      </c>
      <c r="Q393" s="96">
        <f t="shared" si="68"/>
        <v>1</v>
      </c>
      <c r="R393" s="59" t="s">
        <v>4</v>
      </c>
      <c r="S393" s="59" t="s">
        <v>4</v>
      </c>
      <c r="T393" s="59" t="s">
        <v>4</v>
      </c>
      <c r="U393" s="59" t="s">
        <v>4</v>
      </c>
      <c r="V393" s="45">
        <f t="shared" si="69"/>
        <v>1</v>
      </c>
      <c r="W393" s="59" t="s">
        <v>4</v>
      </c>
      <c r="X393" s="59" t="s">
        <v>4</v>
      </c>
      <c r="Y393" s="59" t="s">
        <v>4</v>
      </c>
      <c r="Z393" s="59" t="s">
        <v>4</v>
      </c>
      <c r="AA393" s="59" t="s">
        <v>4</v>
      </c>
      <c r="AB393" s="59" t="s">
        <v>4</v>
      </c>
      <c r="AC393" s="45">
        <f t="shared" si="70"/>
        <v>1.000000000000002</v>
      </c>
      <c r="AD393" s="43" t="s">
        <v>4</v>
      </c>
      <c r="AE393" s="43" t="s">
        <v>4</v>
      </c>
      <c r="AF393" s="97">
        <f t="shared" si="71"/>
        <v>1</v>
      </c>
      <c r="AG393" s="44">
        <f t="shared" si="72"/>
        <v>1.0000000000000004</v>
      </c>
      <c r="AH393" s="55">
        <f t="shared" si="73"/>
        <v>0</v>
      </c>
      <c r="AI393" s="55">
        <f>COUNTIF('Score BD'!$M393:$P393,"no")</f>
        <v>0</v>
      </c>
      <c r="AJ393" s="55">
        <f t="shared" si="74"/>
        <v>0</v>
      </c>
      <c r="AK393" s="55">
        <f t="shared" si="75"/>
        <v>0</v>
      </c>
      <c r="AL393" s="55">
        <f t="shared" si="76"/>
        <v>0</v>
      </c>
      <c r="AM393" s="157" t="s">
        <v>716</v>
      </c>
      <c r="AN393" s="55"/>
      <c r="AO393" s="61"/>
      <c r="AP393" s="61"/>
      <c r="AQ393" s="59" t="str">
        <f>IFERROR(_xlfn.XLOOKUP(Tabla1[[#This Row],[Cedula agente]],Lista!$B$2:$B$97,Lista!$G$2:$G$97)," ")</f>
        <v>Luisa Fernanda Benavides Castrillon</v>
      </c>
      <c r="AR393" s="59" t="s">
        <v>162</v>
      </c>
      <c r="AS393" s="55" t="str">
        <f>IFERROR(_xlfn.XLOOKUP(Tabla1[[#This Row],[Cedula agente]],Lista!$B$2:$B$97,Lista!$F$2:$F$97)," ")</f>
        <v>John Sebastian Roncancio Avendaño</v>
      </c>
      <c r="AT393" s="99">
        <v>0.95</v>
      </c>
      <c r="AU393" s="200">
        <f>+WEEKNUM('Score BD'!$I393)-WEEKNUM(DATE(YEAR('Score BD'!$I393),MONTH('Score BD'!$I393),1))+1</f>
        <v>5</v>
      </c>
    </row>
    <row r="394" spans="1:47" ht="17.45" customHeight="1" x14ac:dyDescent="0.3">
      <c r="A394" s="49" t="str">
        <f t="shared" si="66"/>
        <v>Ministerio de Educación Nacional</v>
      </c>
      <c r="B394" s="50">
        <f>+IFERROR(COUNTIF($J$3:J394,J394)," ")</f>
        <v>17</v>
      </c>
      <c r="C394" s="54" t="str">
        <f>+'Score BD'!$J394&amp;'Score BD'!$B394</f>
        <v>Cesar Rodrigo García17</v>
      </c>
      <c r="D394" s="91" t="s">
        <v>148</v>
      </c>
      <c r="E394" s="92" t="s">
        <v>165</v>
      </c>
      <c r="F394" s="92" t="s">
        <v>212</v>
      </c>
      <c r="G394" s="60" t="str">
        <f t="shared" si="67"/>
        <v>Noviembre</v>
      </c>
      <c r="H394" s="205">
        <v>45988</v>
      </c>
      <c r="I394" s="243">
        <v>45987</v>
      </c>
      <c r="J394" s="57" t="s">
        <v>172</v>
      </c>
      <c r="K394" s="54">
        <f>IFERROR(VLOOKUP('Score BD'!$J394,Lista!A:B,2,0)," ")</f>
        <v>1069257937</v>
      </c>
      <c r="L394" s="61" t="s">
        <v>661</v>
      </c>
      <c r="M394" s="59" t="s">
        <v>4</v>
      </c>
      <c r="N394" s="59" t="s">
        <v>4</v>
      </c>
      <c r="O394" s="59" t="s">
        <v>4</v>
      </c>
      <c r="P394" s="59" t="s">
        <v>4</v>
      </c>
      <c r="Q394" s="96">
        <f t="shared" si="68"/>
        <v>1</v>
      </c>
      <c r="R394" s="59" t="s">
        <v>4</v>
      </c>
      <c r="S394" s="59" t="s">
        <v>4</v>
      </c>
      <c r="T394" s="59" t="s">
        <v>4</v>
      </c>
      <c r="U394" s="59" t="s">
        <v>4</v>
      </c>
      <c r="V394" s="45">
        <f t="shared" si="69"/>
        <v>1</v>
      </c>
      <c r="W394" s="59" t="s">
        <v>4</v>
      </c>
      <c r="X394" s="59" t="s">
        <v>4</v>
      </c>
      <c r="Y394" s="59" t="s">
        <v>4</v>
      </c>
      <c r="Z394" s="59" t="s">
        <v>4</v>
      </c>
      <c r="AA394" s="59" t="s">
        <v>4</v>
      </c>
      <c r="AB394" s="59" t="s">
        <v>4</v>
      </c>
      <c r="AC394" s="45">
        <f t="shared" si="70"/>
        <v>1.000000000000002</v>
      </c>
      <c r="AD394" s="43" t="s">
        <v>4</v>
      </c>
      <c r="AE394" s="43" t="s">
        <v>4</v>
      </c>
      <c r="AF394" s="97">
        <f t="shared" si="71"/>
        <v>1</v>
      </c>
      <c r="AG394" s="44">
        <f t="shared" si="72"/>
        <v>1.0000000000000004</v>
      </c>
      <c r="AH394" s="55">
        <f t="shared" si="73"/>
        <v>0</v>
      </c>
      <c r="AI394" s="55">
        <f>COUNTIF('Score BD'!$M394:$P394,"no")</f>
        <v>0</v>
      </c>
      <c r="AJ394" s="55">
        <f t="shared" si="74"/>
        <v>0</v>
      </c>
      <c r="AK394" s="55">
        <f t="shared" si="75"/>
        <v>0</v>
      </c>
      <c r="AL394" s="55">
        <f t="shared" si="76"/>
        <v>0</v>
      </c>
      <c r="AM394" s="157" t="s">
        <v>716</v>
      </c>
      <c r="AN394" s="55"/>
      <c r="AO394" s="61"/>
      <c r="AP394" s="61"/>
      <c r="AQ394" s="59" t="str">
        <f>IFERROR(_xlfn.XLOOKUP(Tabla1[[#This Row],[Cedula agente]],Lista!$B$2:$B$97,Lista!$G$2:$G$97)," ")</f>
        <v>Luisa Fernanda Benavides Castrillon</v>
      </c>
      <c r="AR394" s="59" t="s">
        <v>162</v>
      </c>
      <c r="AS394" s="55" t="str">
        <f>IFERROR(_xlfn.XLOOKUP(Tabla1[[#This Row],[Cedula agente]],Lista!$B$2:$B$97,Lista!$F$2:$F$97)," ")</f>
        <v>John Sebastian Roncancio Avendaño</v>
      </c>
      <c r="AT394" s="99">
        <v>0.95</v>
      </c>
      <c r="AU394" s="200">
        <f>+WEEKNUM('Score BD'!$I394)-WEEKNUM(DATE(YEAR('Score BD'!$I394),MONTH('Score BD'!$I394),1))+1</f>
        <v>5</v>
      </c>
    </row>
    <row r="395" spans="1:47" ht="17.45" customHeight="1" x14ac:dyDescent="0.3">
      <c r="A395" s="49" t="str">
        <f t="shared" si="66"/>
        <v>Ministerio de Educación Nacional</v>
      </c>
      <c r="B395" s="50">
        <f>+IFERROR(COUNTIF($J$3:J395,J395)," ")</f>
        <v>18</v>
      </c>
      <c r="C395" s="54" t="str">
        <f>+'Score BD'!$J395&amp;'Score BD'!$B395</f>
        <v>Cesar Rodrigo García18</v>
      </c>
      <c r="D395" s="91" t="s">
        <v>148</v>
      </c>
      <c r="E395" s="92" t="s">
        <v>165</v>
      </c>
      <c r="F395" s="92" t="s">
        <v>212</v>
      </c>
      <c r="G395" s="60" t="str">
        <f t="shared" si="67"/>
        <v>Noviembre</v>
      </c>
      <c r="H395" s="205">
        <v>45988</v>
      </c>
      <c r="I395" s="243">
        <v>45987</v>
      </c>
      <c r="J395" s="57" t="s">
        <v>172</v>
      </c>
      <c r="K395" s="54">
        <f>IFERROR(VLOOKUP('Score BD'!$J395,Lista!A:B,2,0)," ")</f>
        <v>1069257937</v>
      </c>
      <c r="L395" s="61" t="s">
        <v>662</v>
      </c>
      <c r="M395" s="59" t="s">
        <v>4</v>
      </c>
      <c r="N395" s="59" t="s">
        <v>4</v>
      </c>
      <c r="O395" s="59" t="s">
        <v>4</v>
      </c>
      <c r="P395" s="59" t="s">
        <v>4</v>
      </c>
      <c r="Q395" s="96">
        <f t="shared" si="68"/>
        <v>1</v>
      </c>
      <c r="R395" s="59" t="s">
        <v>4</v>
      </c>
      <c r="S395" s="59" t="s">
        <v>4</v>
      </c>
      <c r="T395" s="59" t="s">
        <v>4</v>
      </c>
      <c r="U395" s="59" t="s">
        <v>4</v>
      </c>
      <c r="V395" s="45">
        <f t="shared" si="69"/>
        <v>1</v>
      </c>
      <c r="W395" s="59" t="s">
        <v>4</v>
      </c>
      <c r="X395" s="59" t="s">
        <v>4</v>
      </c>
      <c r="Y395" s="59" t="s">
        <v>4</v>
      </c>
      <c r="Z395" s="59" t="s">
        <v>4</v>
      </c>
      <c r="AA395" s="59" t="s">
        <v>4</v>
      </c>
      <c r="AB395" s="59" t="s">
        <v>4</v>
      </c>
      <c r="AC395" s="45">
        <f t="shared" si="70"/>
        <v>1.000000000000002</v>
      </c>
      <c r="AD395" s="43" t="s">
        <v>4</v>
      </c>
      <c r="AE395" s="43" t="s">
        <v>4</v>
      </c>
      <c r="AF395" s="97">
        <f t="shared" si="71"/>
        <v>1</v>
      </c>
      <c r="AG395" s="44">
        <f t="shared" si="72"/>
        <v>1.0000000000000004</v>
      </c>
      <c r="AH395" s="55">
        <f t="shared" si="73"/>
        <v>0</v>
      </c>
      <c r="AI395" s="55">
        <f>COUNTIF('Score BD'!$M395:$P395,"no")</f>
        <v>0</v>
      </c>
      <c r="AJ395" s="55">
        <f t="shared" si="74"/>
        <v>0</v>
      </c>
      <c r="AK395" s="55">
        <f t="shared" si="75"/>
        <v>0</v>
      </c>
      <c r="AL395" s="55">
        <f t="shared" si="76"/>
        <v>0</v>
      </c>
      <c r="AM395" s="157" t="s">
        <v>716</v>
      </c>
      <c r="AN395" s="55"/>
      <c r="AO395" s="61"/>
      <c r="AP395" s="61"/>
      <c r="AQ395" s="59" t="str">
        <f>IFERROR(_xlfn.XLOOKUP(Tabla1[[#This Row],[Cedula agente]],Lista!$B$2:$B$97,Lista!$G$2:$G$97)," ")</f>
        <v>Luisa Fernanda Benavides Castrillon</v>
      </c>
      <c r="AR395" s="59" t="s">
        <v>162</v>
      </c>
      <c r="AS395" s="55" t="str">
        <f>IFERROR(_xlfn.XLOOKUP(Tabla1[[#This Row],[Cedula agente]],Lista!$B$2:$B$97,Lista!$F$2:$F$97)," ")</f>
        <v>John Sebastian Roncancio Avendaño</v>
      </c>
      <c r="AT395" s="99">
        <v>0.95</v>
      </c>
      <c r="AU395" s="200">
        <f>+WEEKNUM('Score BD'!$I395)-WEEKNUM(DATE(YEAR('Score BD'!$I395),MONTH('Score BD'!$I395),1))+1</f>
        <v>5</v>
      </c>
    </row>
    <row r="396" spans="1:47" ht="17.45" customHeight="1" x14ac:dyDescent="0.3">
      <c r="A396" s="49" t="str">
        <f t="shared" si="66"/>
        <v>Ministerio de Educación Nacional</v>
      </c>
      <c r="B396" s="50">
        <f>+IFERROR(COUNTIF($J$3:J396,J396)," ")</f>
        <v>15</v>
      </c>
      <c r="C396" s="54" t="str">
        <f>+'Score BD'!$J396&amp;'Score BD'!$B396</f>
        <v>Cristian Enrique Benitez Rodriguez15</v>
      </c>
      <c r="D396" s="91" t="s">
        <v>148</v>
      </c>
      <c r="E396" s="92" t="s">
        <v>165</v>
      </c>
      <c r="F396" s="92" t="s">
        <v>212</v>
      </c>
      <c r="G396" s="60" t="str">
        <f t="shared" si="67"/>
        <v>Noviembre</v>
      </c>
      <c r="H396" s="205">
        <v>45988</v>
      </c>
      <c r="I396" s="243">
        <v>45987</v>
      </c>
      <c r="J396" s="57" t="s">
        <v>173</v>
      </c>
      <c r="K396" s="54">
        <f>IFERROR(VLOOKUP('Score BD'!$J396,Lista!A:B,2,0)," ")</f>
        <v>1026574814</v>
      </c>
      <c r="L396" s="61" t="s">
        <v>663</v>
      </c>
      <c r="M396" s="59" t="s">
        <v>4</v>
      </c>
      <c r="N396" s="59" t="s">
        <v>4</v>
      </c>
      <c r="O396" s="59" t="s">
        <v>4</v>
      </c>
      <c r="P396" s="59" t="s">
        <v>4</v>
      </c>
      <c r="Q396" s="96">
        <f t="shared" si="68"/>
        <v>1</v>
      </c>
      <c r="R396" s="59" t="s">
        <v>4</v>
      </c>
      <c r="S396" s="59" t="s">
        <v>4</v>
      </c>
      <c r="T396" s="59" t="s">
        <v>4</v>
      </c>
      <c r="U396" s="59" t="s">
        <v>4</v>
      </c>
      <c r="V396" s="45">
        <f t="shared" si="69"/>
        <v>1</v>
      </c>
      <c r="W396" s="59" t="s">
        <v>4</v>
      </c>
      <c r="X396" s="59" t="s">
        <v>4</v>
      </c>
      <c r="Y396" s="59" t="s">
        <v>4</v>
      </c>
      <c r="Z396" s="59" t="s">
        <v>4</v>
      </c>
      <c r="AA396" s="59" t="s">
        <v>4</v>
      </c>
      <c r="AB396" s="59" t="s">
        <v>4</v>
      </c>
      <c r="AC396" s="45">
        <f t="shared" si="70"/>
        <v>1.000000000000002</v>
      </c>
      <c r="AD396" s="43" t="s">
        <v>4</v>
      </c>
      <c r="AE396" s="43" t="s">
        <v>4</v>
      </c>
      <c r="AF396" s="97">
        <f t="shared" si="71"/>
        <v>1</v>
      </c>
      <c r="AG396" s="44">
        <f t="shared" si="72"/>
        <v>1.0000000000000004</v>
      </c>
      <c r="AH396" s="55">
        <f t="shared" si="73"/>
        <v>0</v>
      </c>
      <c r="AI396" s="55">
        <f>COUNTIF('Score BD'!$M396:$P396,"no")</f>
        <v>0</v>
      </c>
      <c r="AJ396" s="55">
        <f t="shared" si="74"/>
        <v>0</v>
      </c>
      <c r="AK396" s="55">
        <f t="shared" si="75"/>
        <v>0</v>
      </c>
      <c r="AL396" s="55">
        <f t="shared" si="76"/>
        <v>0</v>
      </c>
      <c r="AM396" s="157" t="s">
        <v>716</v>
      </c>
      <c r="AN396" s="55"/>
      <c r="AO396" s="61"/>
      <c r="AP396" s="61"/>
      <c r="AQ396" s="59" t="str">
        <f>IFERROR(_xlfn.XLOOKUP(Tabla1[[#This Row],[Cedula agente]],Lista!$B$2:$B$97,Lista!$G$2:$G$97)," ")</f>
        <v>Luisa Fernanda Benavides Castrillon</v>
      </c>
      <c r="AR396" s="59" t="s">
        <v>162</v>
      </c>
      <c r="AS396" s="55" t="str">
        <f>IFERROR(_xlfn.XLOOKUP(Tabla1[[#This Row],[Cedula agente]],Lista!$B$2:$B$97,Lista!$F$2:$F$97)," ")</f>
        <v>John Sebastian Roncancio Avendaño</v>
      </c>
      <c r="AT396" s="99">
        <v>0.95</v>
      </c>
      <c r="AU396" s="200">
        <f>+WEEKNUM('Score BD'!$H396)-WEEKNUM(DATE(YEAR('Score BD'!$H396),MONTH('Score BD'!$H396),1))+1</f>
        <v>5</v>
      </c>
    </row>
    <row r="397" spans="1:47" ht="17.45" customHeight="1" x14ac:dyDescent="0.3">
      <c r="A397" s="49" t="str">
        <f t="shared" si="66"/>
        <v>Ministerio de Educación Nacional</v>
      </c>
      <c r="B397" s="50">
        <f>+IFERROR(COUNTIF($J$3:J397,J397)," ")</f>
        <v>8</v>
      </c>
      <c r="C397" s="54" t="str">
        <f>+'Score BD'!$J397&amp;'Score BD'!$B397</f>
        <v>Daniela Murillo Solano8</v>
      </c>
      <c r="D397" s="91" t="s">
        <v>148</v>
      </c>
      <c r="E397" s="92" t="s">
        <v>211</v>
      </c>
      <c r="F397" s="92" t="s">
        <v>212</v>
      </c>
      <c r="G397" s="60" t="str">
        <f t="shared" si="67"/>
        <v>Noviembre</v>
      </c>
      <c r="H397" s="205">
        <v>45988</v>
      </c>
      <c r="I397" s="243">
        <v>45987</v>
      </c>
      <c r="J397" s="57" t="s">
        <v>203</v>
      </c>
      <c r="K397" s="54">
        <f>IFERROR(VLOOKUP('Score BD'!$J397,Lista!A:B,2,0)," ")</f>
        <v>1234194276</v>
      </c>
      <c r="L397" s="61" t="s">
        <v>664</v>
      </c>
      <c r="M397" s="59" t="s">
        <v>4</v>
      </c>
      <c r="N397" s="59" t="s">
        <v>4</v>
      </c>
      <c r="O397" s="59" t="s">
        <v>4</v>
      </c>
      <c r="P397" s="59" t="s">
        <v>4</v>
      </c>
      <c r="Q397" s="96">
        <f t="shared" si="68"/>
        <v>1</v>
      </c>
      <c r="R397" s="59" t="s">
        <v>4</v>
      </c>
      <c r="S397" s="59" t="s">
        <v>4</v>
      </c>
      <c r="T397" s="59" t="s">
        <v>4</v>
      </c>
      <c r="U397" s="59" t="s">
        <v>4</v>
      </c>
      <c r="V397" s="45">
        <f t="shared" si="69"/>
        <v>1</v>
      </c>
      <c r="W397" s="59" t="s">
        <v>4</v>
      </c>
      <c r="X397" s="59" t="s">
        <v>4</v>
      </c>
      <c r="Y397" s="59" t="s">
        <v>4</v>
      </c>
      <c r="Z397" s="59" t="s">
        <v>4</v>
      </c>
      <c r="AA397" s="59" t="s">
        <v>4</v>
      </c>
      <c r="AB397" s="59" t="s">
        <v>4</v>
      </c>
      <c r="AC397" s="45">
        <f t="shared" si="70"/>
        <v>1.000000000000002</v>
      </c>
      <c r="AD397" s="43" t="s">
        <v>4</v>
      </c>
      <c r="AE397" s="43" t="s">
        <v>4</v>
      </c>
      <c r="AF397" s="97">
        <f t="shared" si="71"/>
        <v>1</v>
      </c>
      <c r="AG397" s="44">
        <f t="shared" si="72"/>
        <v>1.0000000000000004</v>
      </c>
      <c r="AH397" s="55">
        <f t="shared" si="73"/>
        <v>0</v>
      </c>
      <c r="AI397" s="55">
        <f>COUNTIF('Score BD'!$M397:$P397,"no")</f>
        <v>0</v>
      </c>
      <c r="AJ397" s="55">
        <f t="shared" si="74"/>
        <v>0</v>
      </c>
      <c r="AK397" s="55">
        <f t="shared" si="75"/>
        <v>0</v>
      </c>
      <c r="AL397" s="55">
        <f t="shared" si="76"/>
        <v>0</v>
      </c>
      <c r="AM397" s="157" t="s">
        <v>716</v>
      </c>
      <c r="AN397" s="55"/>
      <c r="AO397" s="61"/>
      <c r="AP397" s="61"/>
      <c r="AQ397" s="59" t="str">
        <f>IFERROR(_xlfn.XLOOKUP(Tabla1[[#This Row],[Cedula agente]],Lista!$B$2:$B$97,Lista!$G$2:$G$97)," ")</f>
        <v>Luisa Fernanda Benavides Castrillon</v>
      </c>
      <c r="AR397" s="59" t="s">
        <v>162</v>
      </c>
      <c r="AS397" s="55" t="str">
        <f>IFERROR(_xlfn.XLOOKUP(Tabla1[[#This Row],[Cedula agente]],Lista!$B$2:$B$97,Lista!$F$2:$F$97)," ")</f>
        <v>John Sebastian Roncancio Avendaño</v>
      </c>
      <c r="AT397" s="99">
        <v>0.95</v>
      </c>
      <c r="AU397" s="200">
        <f>+WEEKNUM('Score BD'!$H397)-WEEKNUM(DATE(YEAR('Score BD'!$H397),MONTH('Score BD'!$H397),1))+1</f>
        <v>5</v>
      </c>
    </row>
    <row r="398" spans="1:47" ht="17.45" customHeight="1" x14ac:dyDescent="0.3">
      <c r="A398" s="49" t="str">
        <f t="shared" si="66"/>
        <v>Ministerio de Educación Nacional</v>
      </c>
      <c r="B398" s="50">
        <f>+IFERROR(COUNTIF($J$3:J398,J398)," ")</f>
        <v>40</v>
      </c>
      <c r="C398" s="54" t="str">
        <f>+'Score BD'!$J398&amp;'Score BD'!$B398</f>
        <v>Erika Natalia Ramírez Herrera40</v>
      </c>
      <c r="D398" s="91" t="s">
        <v>148</v>
      </c>
      <c r="E398" s="92" t="s">
        <v>164</v>
      </c>
      <c r="F398" s="92" t="s">
        <v>212</v>
      </c>
      <c r="G398" s="60" t="str">
        <f t="shared" si="67"/>
        <v>Noviembre</v>
      </c>
      <c r="H398" s="205">
        <v>45988</v>
      </c>
      <c r="I398" s="243">
        <v>45987</v>
      </c>
      <c r="J398" s="57" t="s">
        <v>174</v>
      </c>
      <c r="K398" s="54">
        <f>IFERROR(VLOOKUP('Score BD'!$J398,Lista!A:B,2,0)," ")</f>
        <v>1032367072</v>
      </c>
      <c r="L398" s="61" t="s">
        <v>665</v>
      </c>
      <c r="M398" s="59" t="s">
        <v>4</v>
      </c>
      <c r="N398" s="59" t="s">
        <v>4</v>
      </c>
      <c r="O398" s="59" t="s">
        <v>4</v>
      </c>
      <c r="P398" s="59" t="s">
        <v>4</v>
      </c>
      <c r="Q398" s="96">
        <f t="shared" si="68"/>
        <v>1</v>
      </c>
      <c r="R398" s="59" t="s">
        <v>4</v>
      </c>
      <c r="S398" s="59" t="s">
        <v>4</v>
      </c>
      <c r="T398" s="59" t="s">
        <v>4</v>
      </c>
      <c r="U398" s="59" t="s">
        <v>4</v>
      </c>
      <c r="V398" s="45">
        <f t="shared" si="69"/>
        <v>1</v>
      </c>
      <c r="W398" s="59" t="s">
        <v>4</v>
      </c>
      <c r="X398" s="59" t="s">
        <v>4</v>
      </c>
      <c r="Y398" s="59" t="s">
        <v>4</v>
      </c>
      <c r="Z398" s="59" t="s">
        <v>4</v>
      </c>
      <c r="AA398" s="59" t="s">
        <v>4</v>
      </c>
      <c r="AB398" s="59" t="s">
        <v>4</v>
      </c>
      <c r="AC398" s="45">
        <f t="shared" si="70"/>
        <v>1.000000000000002</v>
      </c>
      <c r="AD398" s="43" t="s">
        <v>4</v>
      </c>
      <c r="AE398" s="43" t="s">
        <v>4</v>
      </c>
      <c r="AF398" s="97">
        <f t="shared" si="71"/>
        <v>1</v>
      </c>
      <c r="AG398" s="44">
        <f t="shared" si="72"/>
        <v>1.0000000000000004</v>
      </c>
      <c r="AH398" s="55">
        <f t="shared" si="73"/>
        <v>0</v>
      </c>
      <c r="AI398" s="55">
        <f>COUNTIF('Score BD'!$M398:$P398,"no")</f>
        <v>0</v>
      </c>
      <c r="AJ398" s="55">
        <f t="shared" si="74"/>
        <v>0</v>
      </c>
      <c r="AK398" s="55">
        <f t="shared" si="75"/>
        <v>0</v>
      </c>
      <c r="AL398" s="55">
        <f t="shared" si="76"/>
        <v>0</v>
      </c>
      <c r="AM398" s="157" t="s">
        <v>716</v>
      </c>
      <c r="AN398" s="55"/>
      <c r="AO398" s="61"/>
      <c r="AP398" s="61"/>
      <c r="AQ398" s="59" t="str">
        <f>IFERROR(_xlfn.XLOOKUP(Tabla1[[#This Row],[Cedula agente]],Lista!$B$2:$B$97,Lista!$G$2:$G$97)," ")</f>
        <v>Luisa Fernanda Benavides Castrillon</v>
      </c>
      <c r="AR398" s="59" t="s">
        <v>162</v>
      </c>
      <c r="AS398" s="55" t="str">
        <f>IFERROR(_xlfn.XLOOKUP(Tabla1[[#This Row],[Cedula agente]],Lista!$B$2:$B$97,Lista!$F$2:$F$97)," ")</f>
        <v>John Sebastian Roncancio Avendaño</v>
      </c>
      <c r="AT398" s="99">
        <v>0.95</v>
      </c>
      <c r="AU398" s="200">
        <f>+WEEKNUM('Score BD'!$H398)-WEEKNUM(DATE(YEAR('Score BD'!$H398),MONTH('Score BD'!$H398),1))+1</f>
        <v>5</v>
      </c>
    </row>
    <row r="399" spans="1:47" ht="17.45" customHeight="1" x14ac:dyDescent="0.3">
      <c r="A399" s="49" t="str">
        <f t="shared" si="66"/>
        <v>Ministerio de Educación Nacional</v>
      </c>
      <c r="B399" s="50">
        <f>+IFERROR(COUNTIF($J$3:J399,J399)," ")</f>
        <v>41</v>
      </c>
      <c r="C399" s="54" t="str">
        <f>+'Score BD'!$J399&amp;'Score BD'!$B399</f>
        <v>Erika Natalia Ramírez Herrera41</v>
      </c>
      <c r="D399" s="91" t="s">
        <v>148</v>
      </c>
      <c r="E399" s="92" t="s">
        <v>164</v>
      </c>
      <c r="F399" s="92" t="s">
        <v>212</v>
      </c>
      <c r="G399" s="60" t="str">
        <f t="shared" si="67"/>
        <v>Noviembre</v>
      </c>
      <c r="H399" s="205">
        <v>45988</v>
      </c>
      <c r="I399" s="243">
        <v>45987</v>
      </c>
      <c r="J399" s="57" t="s">
        <v>174</v>
      </c>
      <c r="K399" s="54">
        <f>IFERROR(VLOOKUP('Score BD'!$J399,Lista!A:B,2,0)," ")</f>
        <v>1032367072</v>
      </c>
      <c r="L399" s="61" t="s">
        <v>666</v>
      </c>
      <c r="M399" s="59" t="s">
        <v>4</v>
      </c>
      <c r="N399" s="59" t="s">
        <v>4</v>
      </c>
      <c r="O399" s="59" t="s">
        <v>4</v>
      </c>
      <c r="P399" s="59" t="s">
        <v>4</v>
      </c>
      <c r="Q399" s="96">
        <f t="shared" si="68"/>
        <v>1</v>
      </c>
      <c r="R399" s="59" t="s">
        <v>4</v>
      </c>
      <c r="S399" s="59" t="s">
        <v>4</v>
      </c>
      <c r="T399" s="59" t="s">
        <v>4</v>
      </c>
      <c r="U399" s="59" t="s">
        <v>4</v>
      </c>
      <c r="V399" s="45">
        <f t="shared" si="69"/>
        <v>1</v>
      </c>
      <c r="W399" s="59" t="s">
        <v>4</v>
      </c>
      <c r="X399" s="59" t="s">
        <v>4</v>
      </c>
      <c r="Y399" s="59" t="s">
        <v>4</v>
      </c>
      <c r="Z399" s="59" t="s">
        <v>4</v>
      </c>
      <c r="AA399" s="59" t="s">
        <v>4</v>
      </c>
      <c r="AB399" s="59" t="s">
        <v>4</v>
      </c>
      <c r="AC399" s="45">
        <f t="shared" si="70"/>
        <v>1.000000000000002</v>
      </c>
      <c r="AD399" s="43" t="s">
        <v>4</v>
      </c>
      <c r="AE399" s="43" t="s">
        <v>4</v>
      </c>
      <c r="AF399" s="97">
        <f t="shared" si="71"/>
        <v>1</v>
      </c>
      <c r="AG399" s="44">
        <f t="shared" si="72"/>
        <v>1.0000000000000004</v>
      </c>
      <c r="AH399" s="55">
        <f t="shared" si="73"/>
        <v>0</v>
      </c>
      <c r="AI399" s="55">
        <f>COUNTIF('Score BD'!$M399:$P399,"no")</f>
        <v>0</v>
      </c>
      <c r="AJ399" s="55">
        <f t="shared" si="74"/>
        <v>0</v>
      </c>
      <c r="AK399" s="55">
        <f t="shared" si="75"/>
        <v>0</v>
      </c>
      <c r="AL399" s="55">
        <f t="shared" si="76"/>
        <v>0</v>
      </c>
      <c r="AM399" s="157" t="s">
        <v>716</v>
      </c>
      <c r="AN399" s="55"/>
      <c r="AO399" s="61"/>
      <c r="AP399" s="61"/>
      <c r="AQ399" s="59" t="str">
        <f>IFERROR(_xlfn.XLOOKUP(Tabla1[[#This Row],[Cedula agente]],Lista!$B$2:$B$97,Lista!$G$2:$G$97)," ")</f>
        <v>Luisa Fernanda Benavides Castrillon</v>
      </c>
      <c r="AR399" s="59" t="s">
        <v>162</v>
      </c>
      <c r="AS399" s="55" t="str">
        <f>IFERROR(_xlfn.XLOOKUP(Tabla1[[#This Row],[Cedula agente]],Lista!$B$2:$B$97,Lista!$F$2:$F$97)," ")</f>
        <v>John Sebastian Roncancio Avendaño</v>
      </c>
      <c r="AT399" s="99">
        <v>0.95</v>
      </c>
      <c r="AU399" s="200">
        <f>+WEEKNUM('Score BD'!$H399)-WEEKNUM(DATE(YEAR('Score BD'!$H399),MONTH('Score BD'!$H399),1))+1</f>
        <v>5</v>
      </c>
    </row>
    <row r="400" spans="1:47" ht="17.45" customHeight="1" x14ac:dyDescent="0.3">
      <c r="A400" s="49" t="str">
        <f t="shared" si="66"/>
        <v>Ministerio de Educación Nacional</v>
      </c>
      <c r="B400" s="50">
        <f>+IFERROR(COUNTIF($J$3:J400,J400)," ")</f>
        <v>14</v>
      </c>
      <c r="C400" s="54" t="str">
        <f>+'Score BD'!$J400&amp;'Score BD'!$B400</f>
        <v>Henry Eduardo Padilla Castilla14</v>
      </c>
      <c r="D400" s="91" t="s">
        <v>148</v>
      </c>
      <c r="E400" s="92" t="s">
        <v>165</v>
      </c>
      <c r="F400" s="92" t="s">
        <v>212</v>
      </c>
      <c r="G400" s="60" t="str">
        <f t="shared" si="67"/>
        <v>Noviembre</v>
      </c>
      <c r="H400" s="205">
        <v>45988</v>
      </c>
      <c r="I400" s="243">
        <v>45987</v>
      </c>
      <c r="J400" s="57" t="s">
        <v>175</v>
      </c>
      <c r="K400" s="54">
        <f>IFERROR(VLOOKUP('Score BD'!$J400,Lista!A:B,2,0)," ")</f>
        <v>1063968280</v>
      </c>
      <c r="L400" s="61" t="s">
        <v>667</v>
      </c>
      <c r="M400" s="59" t="s">
        <v>4</v>
      </c>
      <c r="N400" s="59" t="s">
        <v>4</v>
      </c>
      <c r="O400" s="59" t="s">
        <v>4</v>
      </c>
      <c r="P400" s="59" t="s">
        <v>4</v>
      </c>
      <c r="Q400" s="96">
        <f t="shared" si="68"/>
        <v>1</v>
      </c>
      <c r="R400" s="59" t="s">
        <v>4</v>
      </c>
      <c r="S400" s="59" t="s">
        <v>4</v>
      </c>
      <c r="T400" s="59" t="s">
        <v>4</v>
      </c>
      <c r="U400" s="59" t="s">
        <v>4</v>
      </c>
      <c r="V400" s="45">
        <f t="shared" si="69"/>
        <v>1</v>
      </c>
      <c r="W400" s="59" t="s">
        <v>4</v>
      </c>
      <c r="X400" s="59" t="s">
        <v>4</v>
      </c>
      <c r="Y400" s="59" t="s">
        <v>4</v>
      </c>
      <c r="Z400" s="59" t="s">
        <v>4</v>
      </c>
      <c r="AA400" s="59" t="s">
        <v>4</v>
      </c>
      <c r="AB400" s="59" t="s">
        <v>4</v>
      </c>
      <c r="AC400" s="45">
        <f t="shared" si="70"/>
        <v>1.000000000000002</v>
      </c>
      <c r="AD400" s="43" t="s">
        <v>4</v>
      </c>
      <c r="AE400" s="43" t="s">
        <v>4</v>
      </c>
      <c r="AF400" s="97">
        <f t="shared" si="71"/>
        <v>1</v>
      </c>
      <c r="AG400" s="44">
        <f t="shared" si="72"/>
        <v>1.0000000000000004</v>
      </c>
      <c r="AH400" s="55">
        <f t="shared" si="73"/>
        <v>0</v>
      </c>
      <c r="AI400" s="55">
        <f>COUNTIF('Score BD'!$M400:$P400,"no")</f>
        <v>0</v>
      </c>
      <c r="AJ400" s="55">
        <f t="shared" si="74"/>
        <v>0</v>
      </c>
      <c r="AK400" s="55">
        <f t="shared" si="75"/>
        <v>0</v>
      </c>
      <c r="AL400" s="55">
        <f t="shared" si="76"/>
        <v>0</v>
      </c>
      <c r="AM400" s="157" t="s">
        <v>716</v>
      </c>
      <c r="AN400" s="55"/>
      <c r="AO400" s="61"/>
      <c r="AP400" s="61"/>
      <c r="AQ400" s="59" t="str">
        <f>IFERROR(_xlfn.XLOOKUP(Tabla1[[#This Row],[Cedula agente]],Lista!$B$2:$B$97,Lista!$G$2:$G$97)," ")</f>
        <v>Luisa Fernanda Benavides Castrillon</v>
      </c>
      <c r="AR400" s="59" t="s">
        <v>162</v>
      </c>
      <c r="AS400" s="55" t="str">
        <f>IFERROR(_xlfn.XLOOKUP(Tabla1[[#This Row],[Cedula agente]],Lista!$B$2:$B$97,Lista!$F$2:$F$97)," ")</f>
        <v>John Sebastian Roncancio Avendaño</v>
      </c>
      <c r="AT400" s="99">
        <v>0.95</v>
      </c>
      <c r="AU400" s="200">
        <f>+WEEKNUM('Score BD'!$H400)-WEEKNUM(DATE(YEAR('Score BD'!$H400),MONTH('Score BD'!$H400),1))+1</f>
        <v>5</v>
      </c>
    </row>
    <row r="401" spans="1:47" ht="17.45" customHeight="1" x14ac:dyDescent="0.3">
      <c r="A401" s="49" t="str">
        <f t="shared" si="66"/>
        <v>Ministerio de Educación Nacional</v>
      </c>
      <c r="B401" s="50">
        <f>+IFERROR(COUNTIF($J$3:J401,J401)," ")</f>
        <v>15</v>
      </c>
      <c r="C401" s="54" t="str">
        <f>+'Score BD'!$J401&amp;'Score BD'!$B401</f>
        <v>Henry Eduardo Padilla Castilla15</v>
      </c>
      <c r="D401" s="91" t="s">
        <v>148</v>
      </c>
      <c r="E401" s="92" t="s">
        <v>165</v>
      </c>
      <c r="F401" s="92" t="s">
        <v>212</v>
      </c>
      <c r="G401" s="60" t="str">
        <f t="shared" si="67"/>
        <v>Noviembre</v>
      </c>
      <c r="H401" s="205">
        <v>45988</v>
      </c>
      <c r="I401" s="243">
        <v>45987</v>
      </c>
      <c r="J401" s="57" t="s">
        <v>175</v>
      </c>
      <c r="K401" s="54">
        <f>IFERROR(VLOOKUP('Score BD'!$J401,Lista!A:B,2,0)," ")</f>
        <v>1063968280</v>
      </c>
      <c r="L401" s="61" t="s">
        <v>668</v>
      </c>
      <c r="M401" s="59" t="s">
        <v>4</v>
      </c>
      <c r="N401" s="59" t="s">
        <v>4</v>
      </c>
      <c r="O401" s="59" t="s">
        <v>4</v>
      </c>
      <c r="P401" s="59" t="s">
        <v>4</v>
      </c>
      <c r="Q401" s="96">
        <f t="shared" si="68"/>
        <v>1</v>
      </c>
      <c r="R401" s="59" t="s">
        <v>4</v>
      </c>
      <c r="S401" s="59" t="s">
        <v>4</v>
      </c>
      <c r="T401" s="59" t="s">
        <v>4</v>
      </c>
      <c r="U401" s="59" t="s">
        <v>4</v>
      </c>
      <c r="V401" s="45">
        <f t="shared" si="69"/>
        <v>1</v>
      </c>
      <c r="W401" s="59" t="s">
        <v>4</v>
      </c>
      <c r="X401" s="59" t="s">
        <v>4</v>
      </c>
      <c r="Y401" s="59" t="s">
        <v>4</v>
      </c>
      <c r="Z401" s="59" t="s">
        <v>4</v>
      </c>
      <c r="AA401" s="59" t="s">
        <v>4</v>
      </c>
      <c r="AB401" s="59" t="s">
        <v>4</v>
      </c>
      <c r="AC401" s="45">
        <f t="shared" si="70"/>
        <v>1.000000000000002</v>
      </c>
      <c r="AD401" s="43" t="s">
        <v>4</v>
      </c>
      <c r="AE401" s="43" t="s">
        <v>4</v>
      </c>
      <c r="AF401" s="97">
        <f t="shared" si="71"/>
        <v>1</v>
      </c>
      <c r="AG401" s="44">
        <f t="shared" si="72"/>
        <v>1.0000000000000004</v>
      </c>
      <c r="AH401" s="55">
        <f t="shared" si="73"/>
        <v>0</v>
      </c>
      <c r="AI401" s="55">
        <f>COUNTIF('Score BD'!$M401:$P401,"no")</f>
        <v>0</v>
      </c>
      <c r="AJ401" s="55">
        <f t="shared" si="74"/>
        <v>0</v>
      </c>
      <c r="AK401" s="55">
        <f t="shared" si="75"/>
        <v>0</v>
      </c>
      <c r="AL401" s="55">
        <f t="shared" si="76"/>
        <v>0</v>
      </c>
      <c r="AM401" s="157" t="s">
        <v>716</v>
      </c>
      <c r="AN401" s="55"/>
      <c r="AO401" s="61"/>
      <c r="AP401" s="61"/>
      <c r="AQ401" s="59" t="str">
        <f>IFERROR(_xlfn.XLOOKUP(Tabla1[[#This Row],[Cedula agente]],Lista!$B$2:$B$97,Lista!$G$2:$G$97)," ")</f>
        <v>Luisa Fernanda Benavides Castrillon</v>
      </c>
      <c r="AR401" s="59" t="s">
        <v>162</v>
      </c>
      <c r="AS401" s="55" t="str">
        <f>IFERROR(_xlfn.XLOOKUP(Tabla1[[#This Row],[Cedula agente]],Lista!$B$2:$B$97,Lista!$F$2:$F$97)," ")</f>
        <v>John Sebastian Roncancio Avendaño</v>
      </c>
      <c r="AT401" s="99">
        <v>0.95</v>
      </c>
      <c r="AU401" s="200">
        <f>+WEEKNUM('Score BD'!$H401)-WEEKNUM(DATE(YEAR('Score BD'!$H401),MONTH('Score BD'!$H401),1))+1</f>
        <v>5</v>
      </c>
    </row>
    <row r="402" spans="1:47" ht="17.45" customHeight="1" x14ac:dyDescent="0.3">
      <c r="A402" s="49" t="str">
        <f t="shared" si="66"/>
        <v>Ministerio de Educación Nacional</v>
      </c>
      <c r="B402" s="50">
        <f>+IFERROR(COUNTIF($J$3:J402,J402)," ")</f>
        <v>32</v>
      </c>
      <c r="C402" s="54" t="str">
        <f>+'Score BD'!$J402&amp;'Score BD'!$B402</f>
        <v>Ingrid Carolina Monsalve Quintero32</v>
      </c>
      <c r="D402" s="91" t="s">
        <v>148</v>
      </c>
      <c r="E402" s="92" t="s">
        <v>164</v>
      </c>
      <c r="F402" s="92" t="s">
        <v>212</v>
      </c>
      <c r="G402" s="60" t="str">
        <f t="shared" si="67"/>
        <v>Noviembre</v>
      </c>
      <c r="H402" s="205">
        <v>45988</v>
      </c>
      <c r="I402" s="243">
        <v>45987</v>
      </c>
      <c r="J402" s="57" t="s">
        <v>176</v>
      </c>
      <c r="K402" s="54">
        <f>IFERROR(VLOOKUP('Score BD'!$J402,Lista!A:B,2,0)," ")</f>
        <v>52805909</v>
      </c>
      <c r="L402" s="61" t="s">
        <v>669</v>
      </c>
      <c r="M402" s="59" t="s">
        <v>4</v>
      </c>
      <c r="N402" s="59" t="s">
        <v>4</v>
      </c>
      <c r="O402" s="59" t="s">
        <v>4</v>
      </c>
      <c r="P402" s="59" t="s">
        <v>4</v>
      </c>
      <c r="Q402" s="96">
        <f t="shared" si="68"/>
        <v>1</v>
      </c>
      <c r="R402" s="59" t="s">
        <v>4</v>
      </c>
      <c r="S402" s="59" t="s">
        <v>4</v>
      </c>
      <c r="T402" s="59" t="s">
        <v>4</v>
      </c>
      <c r="U402" s="59" t="s">
        <v>4</v>
      </c>
      <c r="V402" s="45">
        <f t="shared" si="69"/>
        <v>1</v>
      </c>
      <c r="W402" s="59" t="s">
        <v>4</v>
      </c>
      <c r="X402" s="59" t="s">
        <v>4</v>
      </c>
      <c r="Y402" s="59" t="s">
        <v>4</v>
      </c>
      <c r="Z402" s="59" t="s">
        <v>4</v>
      </c>
      <c r="AA402" s="59" t="s">
        <v>4</v>
      </c>
      <c r="AB402" s="59" t="s">
        <v>4</v>
      </c>
      <c r="AC402" s="45">
        <f t="shared" si="70"/>
        <v>1.000000000000002</v>
      </c>
      <c r="AD402" s="43" t="s">
        <v>4</v>
      </c>
      <c r="AE402" s="43" t="s">
        <v>4</v>
      </c>
      <c r="AF402" s="97">
        <f t="shared" si="71"/>
        <v>1</v>
      </c>
      <c r="AG402" s="44">
        <f t="shared" si="72"/>
        <v>1.0000000000000004</v>
      </c>
      <c r="AH402" s="55">
        <f t="shared" si="73"/>
        <v>0</v>
      </c>
      <c r="AI402" s="55">
        <f>COUNTIF('Score BD'!$M402:$P402,"no")</f>
        <v>0</v>
      </c>
      <c r="AJ402" s="55">
        <f t="shared" si="74"/>
        <v>0</v>
      </c>
      <c r="AK402" s="55">
        <f t="shared" si="75"/>
        <v>0</v>
      </c>
      <c r="AL402" s="55">
        <f t="shared" si="76"/>
        <v>0</v>
      </c>
      <c r="AM402" s="157" t="s">
        <v>716</v>
      </c>
      <c r="AN402" s="55"/>
      <c r="AO402" s="61"/>
      <c r="AP402" s="61"/>
      <c r="AQ402" s="59" t="str">
        <f>IFERROR(_xlfn.XLOOKUP(Tabla1[[#This Row],[Cedula agente]],Lista!$B$2:$B$97,Lista!$G$2:$G$97)," ")</f>
        <v>Luisa Fernanda Benavides Castrillon</v>
      </c>
      <c r="AR402" s="59" t="s">
        <v>162</v>
      </c>
      <c r="AS402" s="55" t="str">
        <f>IFERROR(_xlfn.XLOOKUP(Tabla1[[#This Row],[Cedula agente]],Lista!$B$2:$B$97,Lista!$F$2:$F$97)," ")</f>
        <v>John Sebastian Roncancio Avendaño</v>
      </c>
      <c r="AT402" s="99">
        <v>0.95</v>
      </c>
      <c r="AU402" s="200">
        <f>+WEEKNUM('Score BD'!$H402)-WEEKNUM(DATE(YEAR('Score BD'!$H402),MONTH('Score BD'!$H402),1))+1</f>
        <v>5</v>
      </c>
    </row>
    <row r="403" spans="1:47" ht="17.45" customHeight="1" x14ac:dyDescent="0.3">
      <c r="A403" s="49" t="str">
        <f t="shared" si="66"/>
        <v>Ministerio de Educación Nacional</v>
      </c>
      <c r="B403" s="50">
        <f>+IFERROR(COUNTIF($J$3:J403,J403)," ")</f>
        <v>33</v>
      </c>
      <c r="C403" s="54" t="str">
        <f>+'Score BD'!$J403&amp;'Score BD'!$B403</f>
        <v>Ingrid Carolina Monsalve Quintero33</v>
      </c>
      <c r="D403" s="91" t="s">
        <v>148</v>
      </c>
      <c r="E403" s="92" t="s">
        <v>164</v>
      </c>
      <c r="F403" s="92" t="s">
        <v>212</v>
      </c>
      <c r="G403" s="60" t="str">
        <f t="shared" si="67"/>
        <v>Noviembre</v>
      </c>
      <c r="H403" s="205">
        <v>45988</v>
      </c>
      <c r="I403" s="243">
        <v>45987</v>
      </c>
      <c r="J403" s="57" t="s">
        <v>176</v>
      </c>
      <c r="K403" s="54">
        <f>IFERROR(VLOOKUP('Score BD'!$J403,Lista!A:B,2,0)," ")</f>
        <v>52805909</v>
      </c>
      <c r="L403" s="61" t="s">
        <v>670</v>
      </c>
      <c r="M403" s="59" t="s">
        <v>4</v>
      </c>
      <c r="N403" s="59" t="s">
        <v>4</v>
      </c>
      <c r="O403" s="59" t="s">
        <v>4</v>
      </c>
      <c r="P403" s="59" t="s">
        <v>4</v>
      </c>
      <c r="Q403" s="96">
        <f t="shared" si="68"/>
        <v>1</v>
      </c>
      <c r="R403" s="59" t="s">
        <v>4</v>
      </c>
      <c r="S403" s="59" t="s">
        <v>4</v>
      </c>
      <c r="T403" s="59" t="s">
        <v>4</v>
      </c>
      <c r="U403" s="59" t="s">
        <v>4</v>
      </c>
      <c r="V403" s="45">
        <f t="shared" si="69"/>
        <v>1</v>
      </c>
      <c r="W403" s="59" t="s">
        <v>4</v>
      </c>
      <c r="X403" s="59" t="s">
        <v>4</v>
      </c>
      <c r="Y403" s="59" t="s">
        <v>4</v>
      </c>
      <c r="Z403" s="59" t="s">
        <v>4</v>
      </c>
      <c r="AA403" s="59" t="s">
        <v>4</v>
      </c>
      <c r="AB403" s="59" t="s">
        <v>4</v>
      </c>
      <c r="AC403" s="45">
        <f t="shared" si="70"/>
        <v>1.000000000000002</v>
      </c>
      <c r="AD403" s="43" t="s">
        <v>4</v>
      </c>
      <c r="AE403" s="43" t="s">
        <v>4</v>
      </c>
      <c r="AF403" s="97">
        <f t="shared" si="71"/>
        <v>1</v>
      </c>
      <c r="AG403" s="44">
        <f t="shared" si="72"/>
        <v>1.0000000000000004</v>
      </c>
      <c r="AH403" s="55">
        <f t="shared" si="73"/>
        <v>0</v>
      </c>
      <c r="AI403" s="55">
        <f>COUNTIF('Score BD'!$M403:$P403,"no")</f>
        <v>0</v>
      </c>
      <c r="AJ403" s="55">
        <f t="shared" si="74"/>
        <v>0</v>
      </c>
      <c r="AK403" s="55">
        <f t="shared" si="75"/>
        <v>0</v>
      </c>
      <c r="AL403" s="55">
        <f t="shared" si="76"/>
        <v>0</v>
      </c>
      <c r="AM403" s="157" t="s">
        <v>716</v>
      </c>
      <c r="AN403" s="55"/>
      <c r="AO403" s="61"/>
      <c r="AP403" s="61"/>
      <c r="AQ403" s="59" t="str">
        <f>IFERROR(_xlfn.XLOOKUP(Tabla1[[#This Row],[Cedula agente]],Lista!$B$2:$B$97,Lista!$G$2:$G$97)," ")</f>
        <v>Luisa Fernanda Benavides Castrillon</v>
      </c>
      <c r="AR403" s="59" t="s">
        <v>162</v>
      </c>
      <c r="AS403" s="55" t="str">
        <f>IFERROR(_xlfn.XLOOKUP(Tabla1[[#This Row],[Cedula agente]],Lista!$B$2:$B$97,Lista!$F$2:$F$97)," ")</f>
        <v>John Sebastian Roncancio Avendaño</v>
      </c>
      <c r="AT403" s="99">
        <v>0.95</v>
      </c>
      <c r="AU403" s="200">
        <f>+WEEKNUM('Score BD'!$H403)-WEEKNUM(DATE(YEAR('Score BD'!$H403),MONTH('Score BD'!$H403),1))+1</f>
        <v>5</v>
      </c>
    </row>
    <row r="404" spans="1:47" ht="17.45" customHeight="1" x14ac:dyDescent="0.3">
      <c r="A404" s="49" t="str">
        <f t="shared" si="66"/>
        <v>Ministerio de Educación Nacional</v>
      </c>
      <c r="B404" s="50">
        <f>+IFERROR(COUNTIF($J$3:J404,J404)," ")</f>
        <v>14</v>
      </c>
      <c r="C404" s="54" t="str">
        <f>+'Score BD'!$J404&amp;'Score BD'!$B404</f>
        <v>Jesus David Hernandez Fernandez de Castro14</v>
      </c>
      <c r="D404" s="91" t="s">
        <v>148</v>
      </c>
      <c r="E404" s="92" t="s">
        <v>208</v>
      </c>
      <c r="F404" s="92" t="s">
        <v>212</v>
      </c>
      <c r="G404" s="60" t="str">
        <f t="shared" si="67"/>
        <v>Noviembre</v>
      </c>
      <c r="H404" s="205">
        <v>45988</v>
      </c>
      <c r="I404" s="243">
        <v>45987</v>
      </c>
      <c r="J404" s="57" t="s">
        <v>177</v>
      </c>
      <c r="K404" s="54">
        <f>IFERROR(VLOOKUP('Score BD'!$J404,Lista!A:B,2,0)," ")</f>
        <v>1083038013</v>
      </c>
      <c r="L404" s="61" t="s">
        <v>671</v>
      </c>
      <c r="M404" s="59" t="s">
        <v>4</v>
      </c>
      <c r="N404" s="59" t="s">
        <v>4</v>
      </c>
      <c r="O404" s="59" t="s">
        <v>4</v>
      </c>
      <c r="P404" s="59" t="s">
        <v>4</v>
      </c>
      <c r="Q404" s="96">
        <f t="shared" si="68"/>
        <v>1</v>
      </c>
      <c r="R404" s="59" t="s">
        <v>4</v>
      </c>
      <c r="S404" s="59" t="s">
        <v>4</v>
      </c>
      <c r="T404" s="59" t="s">
        <v>4</v>
      </c>
      <c r="U404" s="59" t="s">
        <v>4</v>
      </c>
      <c r="V404" s="45">
        <f t="shared" si="69"/>
        <v>1</v>
      </c>
      <c r="W404" s="59" t="s">
        <v>4</v>
      </c>
      <c r="X404" s="59" t="s">
        <v>4</v>
      </c>
      <c r="Y404" s="59" t="s">
        <v>4</v>
      </c>
      <c r="Z404" s="59" t="s">
        <v>4</v>
      </c>
      <c r="AA404" s="59" t="s">
        <v>4</v>
      </c>
      <c r="AB404" s="59" t="s">
        <v>4</v>
      </c>
      <c r="AC404" s="45">
        <f t="shared" si="70"/>
        <v>1.000000000000002</v>
      </c>
      <c r="AD404" s="43" t="s">
        <v>4</v>
      </c>
      <c r="AE404" s="43" t="s">
        <v>4</v>
      </c>
      <c r="AF404" s="97">
        <f t="shared" si="71"/>
        <v>1</v>
      </c>
      <c r="AG404" s="44">
        <f t="shared" si="72"/>
        <v>1.0000000000000004</v>
      </c>
      <c r="AH404" s="55">
        <f t="shared" si="73"/>
        <v>0</v>
      </c>
      <c r="AI404" s="55">
        <f>COUNTIF('Score BD'!$M404:$P404,"no")</f>
        <v>0</v>
      </c>
      <c r="AJ404" s="55">
        <f t="shared" si="74"/>
        <v>0</v>
      </c>
      <c r="AK404" s="55">
        <f t="shared" si="75"/>
        <v>0</v>
      </c>
      <c r="AL404" s="55">
        <f t="shared" si="76"/>
        <v>0</v>
      </c>
      <c r="AM404" s="157" t="s">
        <v>716</v>
      </c>
      <c r="AN404" s="55"/>
      <c r="AO404" s="61"/>
      <c r="AP404" s="61"/>
      <c r="AQ404" s="59" t="str">
        <f>IFERROR(_xlfn.XLOOKUP(Tabla1[[#This Row],[Cedula agente]],Lista!$B$2:$B$97,Lista!$G$2:$G$97)," ")</f>
        <v>Luisa Fernanda Benavides Castrillon</v>
      </c>
      <c r="AR404" s="59" t="s">
        <v>162</v>
      </c>
      <c r="AS404" s="55" t="str">
        <f>IFERROR(_xlfn.XLOOKUP(Tabla1[[#This Row],[Cedula agente]],Lista!$B$2:$B$97,Lista!$F$2:$F$97)," ")</f>
        <v>John Sebastian Roncancio Avendaño</v>
      </c>
      <c r="AT404" s="99">
        <v>0.95</v>
      </c>
      <c r="AU404" s="200">
        <f>+WEEKNUM('Score BD'!$H404)-WEEKNUM(DATE(YEAR('Score BD'!$H404),MONTH('Score BD'!$H404),1))+1</f>
        <v>5</v>
      </c>
    </row>
    <row r="405" spans="1:47" ht="17.45" customHeight="1" x14ac:dyDescent="0.3">
      <c r="A405" s="49" t="str">
        <f t="shared" si="66"/>
        <v>Ministerio de Educación Nacional</v>
      </c>
      <c r="B405" s="50">
        <f>+IFERROR(COUNTIF($J$3:J405,J405)," ")</f>
        <v>23</v>
      </c>
      <c r="C405" s="54" t="str">
        <f>+'Score BD'!$J405&amp;'Score BD'!$B405</f>
        <v>Juan Jose Santoya Medina23</v>
      </c>
      <c r="D405" s="91" t="s">
        <v>148</v>
      </c>
      <c r="E405" s="92" t="s">
        <v>165</v>
      </c>
      <c r="F405" s="92" t="s">
        <v>212</v>
      </c>
      <c r="G405" s="60" t="str">
        <f t="shared" si="67"/>
        <v>Noviembre</v>
      </c>
      <c r="H405" s="205">
        <v>45988</v>
      </c>
      <c r="I405" s="493">
        <v>45987</v>
      </c>
      <c r="J405" s="57" t="s">
        <v>178</v>
      </c>
      <c r="K405" s="54">
        <f>IFERROR(VLOOKUP('Score BD'!$J405,Lista!A:B,2,0)," ")</f>
        <v>1053345183</v>
      </c>
      <c r="L405" s="61" t="s">
        <v>672</v>
      </c>
      <c r="M405" s="59" t="s">
        <v>4</v>
      </c>
      <c r="N405" s="59" t="s">
        <v>4</v>
      </c>
      <c r="O405" s="59" t="s">
        <v>4</v>
      </c>
      <c r="P405" s="59" t="s">
        <v>4</v>
      </c>
      <c r="Q405" s="96">
        <f t="shared" si="68"/>
        <v>1</v>
      </c>
      <c r="R405" s="59" t="s">
        <v>4</v>
      </c>
      <c r="S405" s="59" t="s">
        <v>4</v>
      </c>
      <c r="T405" s="59" t="s">
        <v>4</v>
      </c>
      <c r="U405" s="59" t="s">
        <v>4</v>
      </c>
      <c r="V405" s="45">
        <f t="shared" si="69"/>
        <v>1</v>
      </c>
      <c r="W405" s="59" t="s">
        <v>4</v>
      </c>
      <c r="X405" s="59" t="s">
        <v>4</v>
      </c>
      <c r="Y405" s="59" t="s">
        <v>4</v>
      </c>
      <c r="Z405" s="59" t="s">
        <v>4</v>
      </c>
      <c r="AA405" s="59" t="s">
        <v>4</v>
      </c>
      <c r="AB405" s="59" t="s">
        <v>4</v>
      </c>
      <c r="AC405" s="45">
        <f t="shared" si="70"/>
        <v>1.000000000000002</v>
      </c>
      <c r="AD405" s="43" t="s">
        <v>4</v>
      </c>
      <c r="AE405" s="43" t="s">
        <v>4</v>
      </c>
      <c r="AF405" s="97">
        <f t="shared" si="71"/>
        <v>1</v>
      </c>
      <c r="AG405" s="44">
        <f t="shared" si="72"/>
        <v>1.0000000000000004</v>
      </c>
      <c r="AH405" s="55">
        <f t="shared" si="73"/>
        <v>0</v>
      </c>
      <c r="AI405" s="55">
        <f>COUNTIF('Score BD'!$M405:$P405,"no")</f>
        <v>0</v>
      </c>
      <c r="AJ405" s="55">
        <f t="shared" si="74"/>
        <v>0</v>
      </c>
      <c r="AK405" s="55">
        <f t="shared" si="75"/>
        <v>0</v>
      </c>
      <c r="AL405" s="55">
        <f t="shared" si="76"/>
        <v>0</v>
      </c>
      <c r="AM405" s="157" t="s">
        <v>716</v>
      </c>
      <c r="AN405" s="55"/>
      <c r="AO405" s="61"/>
      <c r="AP405" s="61"/>
      <c r="AQ405" s="59" t="str">
        <f>IFERROR(_xlfn.XLOOKUP(Tabla1[[#This Row],[Cedula agente]],Lista!$B$2:$B$97,Lista!$G$2:$G$97)," ")</f>
        <v>Luisa Fernanda Benavides Castrillon</v>
      </c>
      <c r="AR405" s="59" t="s">
        <v>162</v>
      </c>
      <c r="AS405" s="55" t="str">
        <f>IFERROR(_xlfn.XLOOKUP(Tabla1[[#This Row],[Cedula agente]],Lista!$B$2:$B$97,Lista!$F$2:$F$97)," ")</f>
        <v>John Sebastian Roncancio Avendaño</v>
      </c>
      <c r="AT405" s="99">
        <v>0.95</v>
      </c>
      <c r="AU405" s="200">
        <f>+WEEKNUM('Score BD'!$H405)-WEEKNUM(DATE(YEAR('Score BD'!$H405),MONTH('Score BD'!$H405),1))+1</f>
        <v>5</v>
      </c>
    </row>
    <row r="406" spans="1:47" ht="17.45" customHeight="1" x14ac:dyDescent="0.3">
      <c r="A406" s="49" t="str">
        <f t="shared" si="66"/>
        <v>Ministerio de Educación Nacional</v>
      </c>
      <c r="B406" s="50">
        <f>+IFERROR(COUNTIF($J$3:J406,J406)," ")</f>
        <v>24</v>
      </c>
      <c r="C406" s="54" t="str">
        <f>+'Score BD'!$J406&amp;'Score BD'!$B406</f>
        <v>Juan Jose Santoya Medina24</v>
      </c>
      <c r="D406" s="91" t="s">
        <v>148</v>
      </c>
      <c r="E406" s="92" t="s">
        <v>165</v>
      </c>
      <c r="F406" s="92" t="s">
        <v>212</v>
      </c>
      <c r="G406" s="60" t="str">
        <f t="shared" si="67"/>
        <v>Noviembre</v>
      </c>
      <c r="H406" s="205">
        <v>45988</v>
      </c>
      <c r="I406" s="493">
        <v>45987</v>
      </c>
      <c r="J406" s="57" t="s">
        <v>178</v>
      </c>
      <c r="K406" s="54">
        <f>IFERROR(VLOOKUP('Score BD'!$J406,Lista!A:B,2,0)," ")</f>
        <v>1053345183</v>
      </c>
      <c r="L406" s="61" t="s">
        <v>673</v>
      </c>
      <c r="M406" s="59" t="s">
        <v>4</v>
      </c>
      <c r="N406" s="59" t="s">
        <v>4</v>
      </c>
      <c r="O406" s="59" t="s">
        <v>4</v>
      </c>
      <c r="P406" s="59" t="s">
        <v>4</v>
      </c>
      <c r="Q406" s="96">
        <f t="shared" si="68"/>
        <v>1</v>
      </c>
      <c r="R406" s="59" t="s">
        <v>4</v>
      </c>
      <c r="S406" s="59" t="s">
        <v>4</v>
      </c>
      <c r="T406" s="59" t="s">
        <v>4</v>
      </c>
      <c r="U406" s="59" t="s">
        <v>4</v>
      </c>
      <c r="V406" s="45">
        <f t="shared" si="69"/>
        <v>1</v>
      </c>
      <c r="W406" s="59" t="s">
        <v>4</v>
      </c>
      <c r="X406" s="59" t="s">
        <v>4</v>
      </c>
      <c r="Y406" s="59" t="s">
        <v>4</v>
      </c>
      <c r="Z406" s="59" t="s">
        <v>4</v>
      </c>
      <c r="AA406" s="59" t="s">
        <v>4</v>
      </c>
      <c r="AB406" s="59" t="s">
        <v>4</v>
      </c>
      <c r="AC406" s="45">
        <f t="shared" si="70"/>
        <v>1.000000000000002</v>
      </c>
      <c r="AD406" s="43" t="s">
        <v>4</v>
      </c>
      <c r="AE406" s="43" t="s">
        <v>4</v>
      </c>
      <c r="AF406" s="97">
        <f t="shared" si="71"/>
        <v>1</v>
      </c>
      <c r="AG406" s="44">
        <f t="shared" si="72"/>
        <v>1.0000000000000004</v>
      </c>
      <c r="AH406" s="55">
        <f t="shared" si="73"/>
        <v>0</v>
      </c>
      <c r="AI406" s="55">
        <f>COUNTIF('Score BD'!$M406:$P406,"no")</f>
        <v>0</v>
      </c>
      <c r="AJ406" s="55">
        <f t="shared" si="74"/>
        <v>0</v>
      </c>
      <c r="AK406" s="55">
        <f t="shared" si="75"/>
        <v>0</v>
      </c>
      <c r="AL406" s="55">
        <f t="shared" si="76"/>
        <v>0</v>
      </c>
      <c r="AM406" s="157" t="s">
        <v>716</v>
      </c>
      <c r="AN406" s="55"/>
      <c r="AO406" s="61"/>
      <c r="AP406" s="61"/>
      <c r="AQ406" s="59" t="str">
        <f>IFERROR(_xlfn.XLOOKUP(Tabla1[[#This Row],[Cedula agente]],Lista!$B$2:$B$97,Lista!$G$2:$G$97)," ")</f>
        <v>Luisa Fernanda Benavides Castrillon</v>
      </c>
      <c r="AR406" s="59" t="s">
        <v>162</v>
      </c>
      <c r="AS406" s="55" t="str">
        <f>IFERROR(_xlfn.XLOOKUP(Tabla1[[#This Row],[Cedula agente]],Lista!$B$2:$B$97,Lista!$F$2:$F$97)," ")</f>
        <v>John Sebastian Roncancio Avendaño</v>
      </c>
      <c r="AT406" s="99">
        <v>0.95</v>
      </c>
      <c r="AU406" s="200">
        <f>+WEEKNUM('Score BD'!$H406)-WEEKNUM(DATE(YEAR('Score BD'!$H406),MONTH('Score BD'!$H406),1))+1</f>
        <v>5</v>
      </c>
    </row>
    <row r="407" spans="1:47" ht="17.45" customHeight="1" x14ac:dyDescent="0.3">
      <c r="A407" s="49" t="str">
        <f t="shared" si="66"/>
        <v>Ministerio de Educación Nacional</v>
      </c>
      <c r="B407" s="50">
        <f>+IFERROR(COUNTIF($J$3:J407,J407)," ")</f>
        <v>17</v>
      </c>
      <c r="C407" s="54" t="str">
        <f>+'Score BD'!$J407&amp;'Score BD'!$B407</f>
        <v>Juan Sebastián Suárez Morales17</v>
      </c>
      <c r="D407" s="91" t="s">
        <v>148</v>
      </c>
      <c r="E407" s="92" t="s">
        <v>165</v>
      </c>
      <c r="F407" s="92" t="s">
        <v>212</v>
      </c>
      <c r="G407" s="60" t="str">
        <f t="shared" si="67"/>
        <v>Noviembre</v>
      </c>
      <c r="H407" s="205">
        <v>45988</v>
      </c>
      <c r="I407" s="243">
        <v>45987</v>
      </c>
      <c r="J407" s="57" t="s">
        <v>179</v>
      </c>
      <c r="K407" s="54">
        <f>IFERROR(VLOOKUP('Score BD'!$J407,Lista!A:B,2,0)," ")</f>
        <v>1030541070</v>
      </c>
      <c r="L407" s="61" t="s">
        <v>674</v>
      </c>
      <c r="M407" s="59" t="s">
        <v>4</v>
      </c>
      <c r="N407" s="59" t="s">
        <v>4</v>
      </c>
      <c r="O407" s="59" t="s">
        <v>4</v>
      </c>
      <c r="P407" s="59" t="s">
        <v>4</v>
      </c>
      <c r="Q407" s="96">
        <f t="shared" si="68"/>
        <v>1</v>
      </c>
      <c r="R407" s="59" t="s">
        <v>4</v>
      </c>
      <c r="S407" s="59" t="s">
        <v>4</v>
      </c>
      <c r="T407" s="59" t="s">
        <v>4</v>
      </c>
      <c r="U407" s="59" t="s">
        <v>4</v>
      </c>
      <c r="V407" s="45">
        <f t="shared" si="69"/>
        <v>1</v>
      </c>
      <c r="W407" s="59" t="s">
        <v>4</v>
      </c>
      <c r="X407" s="59" t="s">
        <v>4</v>
      </c>
      <c r="Y407" s="59" t="s">
        <v>4</v>
      </c>
      <c r="Z407" s="59" t="s">
        <v>4</v>
      </c>
      <c r="AA407" s="59" t="s">
        <v>4</v>
      </c>
      <c r="AB407" s="59" t="s">
        <v>4</v>
      </c>
      <c r="AC407" s="45">
        <f t="shared" si="70"/>
        <v>1.000000000000002</v>
      </c>
      <c r="AD407" s="43" t="s">
        <v>4</v>
      </c>
      <c r="AE407" s="43" t="s">
        <v>4</v>
      </c>
      <c r="AF407" s="97">
        <f t="shared" si="71"/>
        <v>1</v>
      </c>
      <c r="AG407" s="44">
        <f t="shared" si="72"/>
        <v>1.0000000000000004</v>
      </c>
      <c r="AH407" s="55">
        <f t="shared" si="73"/>
        <v>0</v>
      </c>
      <c r="AI407" s="55">
        <f>COUNTIF('Score BD'!$M407:$P407,"no")</f>
        <v>0</v>
      </c>
      <c r="AJ407" s="55">
        <f t="shared" si="74"/>
        <v>0</v>
      </c>
      <c r="AK407" s="55">
        <f t="shared" si="75"/>
        <v>0</v>
      </c>
      <c r="AL407" s="55">
        <f t="shared" si="76"/>
        <v>0</v>
      </c>
      <c r="AM407" s="157" t="s">
        <v>716</v>
      </c>
      <c r="AN407" s="55"/>
      <c r="AO407" s="61"/>
      <c r="AP407" s="61"/>
      <c r="AQ407" s="59" t="str">
        <f>IFERROR(_xlfn.XLOOKUP(Tabla1[[#This Row],[Cedula agente]],Lista!$B$2:$B$97,Lista!$G$2:$G$97)," ")</f>
        <v>Luisa Fernanda Benavides Castrillon</v>
      </c>
      <c r="AR407" s="59" t="s">
        <v>162</v>
      </c>
      <c r="AS407" s="55" t="str">
        <f>IFERROR(_xlfn.XLOOKUP(Tabla1[[#This Row],[Cedula agente]],Lista!$B$2:$B$97,Lista!$F$2:$F$97)," ")</f>
        <v>John Sebastian Roncancio Avendaño</v>
      </c>
      <c r="AT407" s="99">
        <v>0.95</v>
      </c>
      <c r="AU407" s="200">
        <f>+WEEKNUM('Score BD'!$H407)-WEEKNUM(DATE(YEAR('Score BD'!$H407),MONTH('Score BD'!$H407),1))+1</f>
        <v>5</v>
      </c>
    </row>
    <row r="408" spans="1:47" ht="17.45" customHeight="1" x14ac:dyDescent="0.3">
      <c r="A408" s="49" t="str">
        <f t="shared" si="66"/>
        <v>Ministerio de Educación Nacional</v>
      </c>
      <c r="B408" s="50">
        <f>+IFERROR(COUNTIF($J$3:J408,J408)," ")</f>
        <v>13</v>
      </c>
      <c r="C408" s="54" t="str">
        <f>+'Score BD'!$J408&amp;'Score BD'!$B408</f>
        <v>Laura Juliana Rueda Durán13</v>
      </c>
      <c r="D408" s="91" t="s">
        <v>148</v>
      </c>
      <c r="E408" s="92" t="s">
        <v>165</v>
      </c>
      <c r="F408" s="92" t="s">
        <v>212</v>
      </c>
      <c r="G408" s="60" t="str">
        <f t="shared" si="67"/>
        <v>Noviembre</v>
      </c>
      <c r="H408" s="205">
        <v>45988</v>
      </c>
      <c r="I408" s="243">
        <v>45987</v>
      </c>
      <c r="J408" s="57" t="s">
        <v>180</v>
      </c>
      <c r="K408" s="54">
        <f>IFERROR(VLOOKUP('Score BD'!$J408,Lista!A:B,2,0)," ")</f>
        <v>1026291591</v>
      </c>
      <c r="L408" s="61" t="s">
        <v>675</v>
      </c>
      <c r="M408" s="59" t="s">
        <v>4</v>
      </c>
      <c r="N408" s="59" t="s">
        <v>4</v>
      </c>
      <c r="O408" s="59" t="s">
        <v>4</v>
      </c>
      <c r="P408" s="59" t="s">
        <v>4</v>
      </c>
      <c r="Q408" s="96">
        <f t="shared" si="68"/>
        <v>1</v>
      </c>
      <c r="R408" s="59" t="s">
        <v>4</v>
      </c>
      <c r="S408" s="59" t="s">
        <v>4</v>
      </c>
      <c r="T408" s="59" t="s">
        <v>4</v>
      </c>
      <c r="U408" s="59" t="s">
        <v>4</v>
      </c>
      <c r="V408" s="45">
        <f t="shared" si="69"/>
        <v>1</v>
      </c>
      <c r="W408" s="59" t="s">
        <v>4</v>
      </c>
      <c r="X408" s="59" t="s">
        <v>4</v>
      </c>
      <c r="Y408" s="59" t="s">
        <v>4</v>
      </c>
      <c r="Z408" s="59" t="s">
        <v>4</v>
      </c>
      <c r="AA408" s="59" t="s">
        <v>4</v>
      </c>
      <c r="AB408" s="59" t="s">
        <v>4</v>
      </c>
      <c r="AC408" s="45">
        <f t="shared" si="70"/>
        <v>1.000000000000002</v>
      </c>
      <c r="AD408" s="43" t="s">
        <v>4</v>
      </c>
      <c r="AE408" s="43" t="s">
        <v>4</v>
      </c>
      <c r="AF408" s="97">
        <f t="shared" si="71"/>
        <v>1</v>
      </c>
      <c r="AG408" s="44">
        <f t="shared" si="72"/>
        <v>1.0000000000000004</v>
      </c>
      <c r="AH408" s="55">
        <f t="shared" si="73"/>
        <v>0</v>
      </c>
      <c r="AI408" s="55">
        <f>COUNTIF('Score BD'!$M408:$P408,"no")</f>
        <v>0</v>
      </c>
      <c r="AJ408" s="55">
        <f t="shared" si="74"/>
        <v>0</v>
      </c>
      <c r="AK408" s="55">
        <f t="shared" si="75"/>
        <v>0</v>
      </c>
      <c r="AL408" s="55">
        <f t="shared" si="76"/>
        <v>0</v>
      </c>
      <c r="AM408" s="157" t="s">
        <v>716</v>
      </c>
      <c r="AN408" s="55"/>
      <c r="AO408" s="61"/>
      <c r="AP408" s="61"/>
      <c r="AQ408" s="59" t="str">
        <f>IFERROR(_xlfn.XLOOKUP(Tabla1[[#This Row],[Cedula agente]],Lista!$B$2:$B$97,Lista!$G$2:$G$97)," ")</f>
        <v>Luisa Fernanda Benavides Castrillon</v>
      </c>
      <c r="AR408" s="59" t="s">
        <v>162</v>
      </c>
      <c r="AS408" s="55" t="str">
        <f>IFERROR(_xlfn.XLOOKUP(Tabla1[[#This Row],[Cedula agente]],Lista!$B$2:$B$97,Lista!$F$2:$F$97)," ")</f>
        <v>John Sebastian Roncancio Avendaño</v>
      </c>
      <c r="AT408" s="99">
        <v>0.95</v>
      </c>
      <c r="AU408" s="200">
        <f>+WEEKNUM('Score BD'!$H408)-WEEKNUM(DATE(YEAR('Score BD'!$H408),MONTH('Score BD'!$H408),1))+1</f>
        <v>5</v>
      </c>
    </row>
    <row r="409" spans="1:47" ht="17.45" customHeight="1" x14ac:dyDescent="0.3">
      <c r="A409" s="49" t="str">
        <f t="shared" si="66"/>
        <v>Ministerio de Educación Nacional</v>
      </c>
      <c r="B409" s="50">
        <f>+IFERROR(COUNTIF($J$3:J409,J409)," ")</f>
        <v>15</v>
      </c>
      <c r="C409" s="54" t="str">
        <f>+'Score BD'!$J409&amp;'Score BD'!$B409</f>
        <v>Laura Ximena Sandoval Galindo15</v>
      </c>
      <c r="D409" s="91" t="s">
        <v>148</v>
      </c>
      <c r="E409" s="92" t="s">
        <v>208</v>
      </c>
      <c r="F409" s="92" t="s">
        <v>212</v>
      </c>
      <c r="G409" s="60" t="str">
        <f t="shared" si="67"/>
        <v>Noviembre</v>
      </c>
      <c r="H409" s="205">
        <v>45988</v>
      </c>
      <c r="I409" s="243">
        <v>45987</v>
      </c>
      <c r="J409" s="57" t="s">
        <v>201</v>
      </c>
      <c r="K409" s="54">
        <f>IFERROR(VLOOKUP('Score BD'!$J409,Lista!A:B,2,0)," ")</f>
        <v>1030678660</v>
      </c>
      <c r="L409" s="61" t="s">
        <v>676</v>
      </c>
      <c r="M409" s="59" t="s">
        <v>4</v>
      </c>
      <c r="N409" s="59" t="s">
        <v>4</v>
      </c>
      <c r="O409" s="59" t="s">
        <v>4</v>
      </c>
      <c r="P409" s="59" t="s">
        <v>4</v>
      </c>
      <c r="Q409" s="96">
        <f t="shared" si="68"/>
        <v>1</v>
      </c>
      <c r="R409" s="59" t="s">
        <v>4</v>
      </c>
      <c r="S409" s="59" t="s">
        <v>4</v>
      </c>
      <c r="T409" s="59" t="s">
        <v>4</v>
      </c>
      <c r="U409" s="59" t="s">
        <v>4</v>
      </c>
      <c r="V409" s="45">
        <f t="shared" si="69"/>
        <v>1</v>
      </c>
      <c r="W409" s="59" t="s">
        <v>4</v>
      </c>
      <c r="X409" s="59" t="s">
        <v>4</v>
      </c>
      <c r="Y409" s="59" t="s">
        <v>4</v>
      </c>
      <c r="Z409" s="59" t="s">
        <v>4</v>
      </c>
      <c r="AA409" s="59" t="s">
        <v>4</v>
      </c>
      <c r="AB409" s="59" t="s">
        <v>4</v>
      </c>
      <c r="AC409" s="45">
        <f t="shared" si="70"/>
        <v>1.000000000000002</v>
      </c>
      <c r="AD409" s="43" t="s">
        <v>4</v>
      </c>
      <c r="AE409" s="43" t="s">
        <v>4</v>
      </c>
      <c r="AF409" s="97">
        <f t="shared" si="71"/>
        <v>1</v>
      </c>
      <c r="AG409" s="44">
        <f t="shared" si="72"/>
        <v>1.0000000000000004</v>
      </c>
      <c r="AH409" s="55">
        <f t="shared" si="73"/>
        <v>0</v>
      </c>
      <c r="AI409" s="55">
        <f>COUNTIF('Score BD'!$M409:$P409,"no")</f>
        <v>0</v>
      </c>
      <c r="AJ409" s="55">
        <f t="shared" si="74"/>
        <v>0</v>
      </c>
      <c r="AK409" s="55">
        <f t="shared" si="75"/>
        <v>0</v>
      </c>
      <c r="AL409" s="55">
        <f t="shared" si="76"/>
        <v>0</v>
      </c>
      <c r="AM409" s="157" t="s">
        <v>716</v>
      </c>
      <c r="AN409" s="55"/>
      <c r="AO409" s="61"/>
      <c r="AP409" s="61"/>
      <c r="AQ409" s="59" t="str">
        <f>IFERROR(_xlfn.XLOOKUP(Tabla1[[#This Row],[Cedula agente]],Lista!$B$2:$B$97,Lista!$G$2:$G$97)," ")</f>
        <v>Luisa Fernanda Benavides Castrillon</v>
      </c>
      <c r="AR409" s="59" t="s">
        <v>162</v>
      </c>
      <c r="AS409" s="55" t="str">
        <f>IFERROR(_xlfn.XLOOKUP(Tabla1[[#This Row],[Cedula agente]],Lista!$B$2:$B$97,Lista!$F$2:$F$97)," ")</f>
        <v>John Sebastian Roncancio Avendaño</v>
      </c>
      <c r="AT409" s="99">
        <v>0.95</v>
      </c>
      <c r="AU409" s="200">
        <f>+WEEKNUM('Score BD'!$H409)-WEEKNUM(DATE(YEAR('Score BD'!$H409),MONTH('Score BD'!$H409),1))+1</f>
        <v>5</v>
      </c>
    </row>
    <row r="410" spans="1:47" ht="17.45" customHeight="1" x14ac:dyDescent="0.3">
      <c r="A410" s="49" t="str">
        <f t="shared" si="66"/>
        <v>Ministerio de Educación Nacional</v>
      </c>
      <c r="B410" s="50">
        <f>+IFERROR(COUNTIF($J$3:J410,J410)," ")</f>
        <v>32</v>
      </c>
      <c r="C410" s="54" t="str">
        <f>+'Score BD'!$J410&amp;'Score BD'!$B410</f>
        <v>Maira Alejandra Rodriguez Losada32</v>
      </c>
      <c r="D410" s="91" t="s">
        <v>148</v>
      </c>
      <c r="E410" s="92" t="s">
        <v>164</v>
      </c>
      <c r="F410" s="92" t="s">
        <v>212</v>
      </c>
      <c r="G410" s="60" t="str">
        <f t="shared" si="67"/>
        <v>Noviembre</v>
      </c>
      <c r="H410" s="205">
        <v>45988</v>
      </c>
      <c r="I410" s="243">
        <v>45987</v>
      </c>
      <c r="J410" s="57" t="s">
        <v>204</v>
      </c>
      <c r="K410" s="54">
        <f>IFERROR(VLOOKUP('Score BD'!$J410,Lista!A:B,2,0)," ")</f>
        <v>1075224344</v>
      </c>
      <c r="L410" s="61" t="s">
        <v>677</v>
      </c>
      <c r="M410" s="59" t="s">
        <v>4</v>
      </c>
      <c r="N410" s="59" t="s">
        <v>4</v>
      </c>
      <c r="O410" s="59" t="s">
        <v>4</v>
      </c>
      <c r="P410" s="59" t="s">
        <v>4</v>
      </c>
      <c r="Q410" s="96">
        <f t="shared" si="68"/>
        <v>1</v>
      </c>
      <c r="R410" s="59" t="s">
        <v>4</v>
      </c>
      <c r="S410" s="59" t="s">
        <v>4</v>
      </c>
      <c r="T410" s="59" t="s">
        <v>4</v>
      </c>
      <c r="U410" s="59" t="s">
        <v>4</v>
      </c>
      <c r="V410" s="45">
        <f t="shared" si="69"/>
        <v>1</v>
      </c>
      <c r="W410" s="59" t="s">
        <v>4</v>
      </c>
      <c r="X410" s="59" t="s">
        <v>4</v>
      </c>
      <c r="Y410" s="59" t="s">
        <v>4</v>
      </c>
      <c r="Z410" s="59" t="s">
        <v>4</v>
      </c>
      <c r="AA410" s="59" t="s">
        <v>4</v>
      </c>
      <c r="AB410" s="59" t="s">
        <v>4</v>
      </c>
      <c r="AC410" s="45">
        <f t="shared" si="70"/>
        <v>1.000000000000002</v>
      </c>
      <c r="AD410" s="43" t="s">
        <v>4</v>
      </c>
      <c r="AE410" s="43" t="s">
        <v>4</v>
      </c>
      <c r="AF410" s="97">
        <f t="shared" si="71"/>
        <v>1</v>
      </c>
      <c r="AG410" s="44">
        <f t="shared" si="72"/>
        <v>1.0000000000000004</v>
      </c>
      <c r="AH410" s="55">
        <f t="shared" si="73"/>
        <v>0</v>
      </c>
      <c r="AI410" s="55">
        <f>COUNTIF('Score BD'!$M410:$P410,"no")</f>
        <v>0</v>
      </c>
      <c r="AJ410" s="55">
        <f t="shared" si="74"/>
        <v>0</v>
      </c>
      <c r="AK410" s="55">
        <f t="shared" si="75"/>
        <v>0</v>
      </c>
      <c r="AL410" s="55">
        <f t="shared" si="76"/>
        <v>0</v>
      </c>
      <c r="AM410" s="157" t="s">
        <v>716</v>
      </c>
      <c r="AN410" s="55"/>
      <c r="AO410" s="61"/>
      <c r="AP410" s="61"/>
      <c r="AQ410" s="59" t="str">
        <f>IFERROR(_xlfn.XLOOKUP(Tabla1[[#This Row],[Cedula agente]],Lista!$B$2:$B$97,Lista!$G$2:$G$97)," ")</f>
        <v>Luisa Fernanda Benavides Castrillon</v>
      </c>
      <c r="AR410" s="59" t="s">
        <v>162</v>
      </c>
      <c r="AS410" s="55" t="str">
        <f>IFERROR(_xlfn.XLOOKUP(Tabla1[[#This Row],[Cedula agente]],Lista!$B$2:$B$97,Lista!$F$2:$F$97)," ")</f>
        <v>John Sebastian Roncancio Avendaño</v>
      </c>
      <c r="AT410" s="99">
        <v>0.95</v>
      </c>
      <c r="AU410" s="200">
        <f>+WEEKNUM('Score BD'!$H410)-WEEKNUM(DATE(YEAR('Score BD'!$H410),MONTH('Score BD'!$H410),1))+1</f>
        <v>5</v>
      </c>
    </row>
    <row r="411" spans="1:47" ht="17.45" customHeight="1" x14ac:dyDescent="0.3">
      <c r="A411" s="49" t="str">
        <f t="shared" si="66"/>
        <v>Ministerio de Educación Nacional</v>
      </c>
      <c r="B411" s="50">
        <f>+IFERROR(COUNTIF($J$3:J411,J411)," ")</f>
        <v>33</v>
      </c>
      <c r="C411" s="54" t="str">
        <f>+'Score BD'!$J411&amp;'Score BD'!$B411</f>
        <v>Maira Alejandra Rodriguez Losada33</v>
      </c>
      <c r="D411" s="91" t="s">
        <v>148</v>
      </c>
      <c r="E411" s="92" t="s">
        <v>164</v>
      </c>
      <c r="F411" s="92" t="s">
        <v>212</v>
      </c>
      <c r="G411" s="60" t="str">
        <f t="shared" si="67"/>
        <v>Noviembre</v>
      </c>
      <c r="H411" s="205">
        <v>45988</v>
      </c>
      <c r="I411" s="243">
        <v>45987</v>
      </c>
      <c r="J411" s="57" t="s">
        <v>204</v>
      </c>
      <c r="K411" s="54">
        <f>IFERROR(VLOOKUP('Score BD'!$J411,Lista!A:B,2,0)," ")</f>
        <v>1075224344</v>
      </c>
      <c r="L411" s="61" t="s">
        <v>678</v>
      </c>
      <c r="M411" s="59" t="s">
        <v>4</v>
      </c>
      <c r="N411" s="59" t="s">
        <v>4</v>
      </c>
      <c r="O411" s="59" t="s">
        <v>4</v>
      </c>
      <c r="P411" s="59" t="s">
        <v>4</v>
      </c>
      <c r="Q411" s="96">
        <f t="shared" si="68"/>
        <v>1</v>
      </c>
      <c r="R411" s="59" t="s">
        <v>4</v>
      </c>
      <c r="S411" s="59" t="s">
        <v>4</v>
      </c>
      <c r="T411" s="59" t="s">
        <v>4</v>
      </c>
      <c r="U411" s="59" t="s">
        <v>4</v>
      </c>
      <c r="V411" s="45">
        <f t="shared" si="69"/>
        <v>1</v>
      </c>
      <c r="W411" s="59" t="s">
        <v>4</v>
      </c>
      <c r="X411" s="59" t="s">
        <v>4</v>
      </c>
      <c r="Y411" s="59" t="s">
        <v>4</v>
      </c>
      <c r="Z411" s="59" t="s">
        <v>4</v>
      </c>
      <c r="AA411" s="59" t="s">
        <v>4</v>
      </c>
      <c r="AB411" s="59" t="s">
        <v>4</v>
      </c>
      <c r="AC411" s="45">
        <f t="shared" si="70"/>
        <v>1.000000000000002</v>
      </c>
      <c r="AD411" s="43" t="s">
        <v>4</v>
      </c>
      <c r="AE411" s="43" t="s">
        <v>4</v>
      </c>
      <c r="AF411" s="97">
        <f t="shared" si="71"/>
        <v>1</v>
      </c>
      <c r="AG411" s="44">
        <f t="shared" si="72"/>
        <v>1.0000000000000004</v>
      </c>
      <c r="AH411" s="55">
        <f t="shared" si="73"/>
        <v>0</v>
      </c>
      <c r="AI411" s="55">
        <f>COUNTIF('Score BD'!$M411:$P411,"no")</f>
        <v>0</v>
      </c>
      <c r="AJ411" s="55">
        <f t="shared" si="74"/>
        <v>0</v>
      </c>
      <c r="AK411" s="55">
        <f t="shared" si="75"/>
        <v>0</v>
      </c>
      <c r="AL411" s="55">
        <f t="shared" si="76"/>
        <v>0</v>
      </c>
      <c r="AM411" s="157" t="s">
        <v>716</v>
      </c>
      <c r="AN411" s="55"/>
      <c r="AO411" s="61"/>
      <c r="AP411" s="61"/>
      <c r="AQ411" s="59" t="str">
        <f>IFERROR(_xlfn.XLOOKUP(Tabla1[[#This Row],[Cedula agente]],Lista!$B$2:$B$97,Lista!$G$2:$G$97)," ")</f>
        <v>Luisa Fernanda Benavides Castrillon</v>
      </c>
      <c r="AR411" s="59" t="s">
        <v>162</v>
      </c>
      <c r="AS411" s="55" t="str">
        <f>IFERROR(_xlfn.XLOOKUP(Tabla1[[#This Row],[Cedula agente]],Lista!$B$2:$B$97,Lista!$F$2:$F$97)," ")</f>
        <v>John Sebastian Roncancio Avendaño</v>
      </c>
      <c r="AT411" s="99">
        <v>0.95</v>
      </c>
      <c r="AU411" s="200">
        <f>+WEEKNUM('Score BD'!$H411)-WEEKNUM(DATE(YEAR('Score BD'!$H411),MONTH('Score BD'!$H411),1))+1</f>
        <v>5</v>
      </c>
    </row>
    <row r="412" spans="1:47" ht="17.45" customHeight="1" x14ac:dyDescent="0.3">
      <c r="A412" s="49" t="str">
        <f t="shared" si="66"/>
        <v>Ministerio de Educación Nacional</v>
      </c>
      <c r="B412" s="50">
        <f>+IFERROR(COUNTIF($J$3:J412,J412)," ")</f>
        <v>31</v>
      </c>
      <c r="C412" s="54" t="str">
        <f>+'Score BD'!$J412&amp;'Score BD'!$B412</f>
        <v>María José Uribe Medina31</v>
      </c>
      <c r="D412" s="91" t="s">
        <v>148</v>
      </c>
      <c r="E412" s="92" t="s">
        <v>164</v>
      </c>
      <c r="F412" s="92" t="s">
        <v>212</v>
      </c>
      <c r="G412" s="60" t="str">
        <f t="shared" si="67"/>
        <v>Noviembre</v>
      </c>
      <c r="H412" s="205">
        <v>45988</v>
      </c>
      <c r="I412" s="243">
        <v>45987</v>
      </c>
      <c r="J412" s="57" t="s">
        <v>205</v>
      </c>
      <c r="K412" s="54">
        <f>IFERROR(VLOOKUP('Score BD'!$J412,Lista!A:B,2,0)," ")</f>
        <v>1121919150</v>
      </c>
      <c r="L412" s="61" t="s">
        <v>679</v>
      </c>
      <c r="M412" s="59" t="s">
        <v>4</v>
      </c>
      <c r="N412" s="59" t="s">
        <v>4</v>
      </c>
      <c r="O412" s="59" t="s">
        <v>4</v>
      </c>
      <c r="P412" s="59" t="s">
        <v>4</v>
      </c>
      <c r="Q412" s="96">
        <f t="shared" si="68"/>
        <v>1</v>
      </c>
      <c r="R412" s="59" t="s">
        <v>4</v>
      </c>
      <c r="S412" s="59" t="s">
        <v>4</v>
      </c>
      <c r="T412" s="59" t="s">
        <v>4</v>
      </c>
      <c r="U412" s="59" t="s">
        <v>4</v>
      </c>
      <c r="V412" s="45">
        <f t="shared" si="69"/>
        <v>1</v>
      </c>
      <c r="W412" s="59" t="s">
        <v>4</v>
      </c>
      <c r="X412" s="59" t="s">
        <v>4</v>
      </c>
      <c r="Y412" s="59" t="s">
        <v>4</v>
      </c>
      <c r="Z412" s="59" t="s">
        <v>4</v>
      </c>
      <c r="AA412" s="59" t="s">
        <v>4</v>
      </c>
      <c r="AB412" s="59" t="s">
        <v>4</v>
      </c>
      <c r="AC412" s="45">
        <f t="shared" si="70"/>
        <v>1.000000000000002</v>
      </c>
      <c r="AD412" s="43" t="s">
        <v>4</v>
      </c>
      <c r="AE412" s="43" t="s">
        <v>4</v>
      </c>
      <c r="AF412" s="97">
        <f t="shared" si="71"/>
        <v>1</v>
      </c>
      <c r="AG412" s="44">
        <f t="shared" si="72"/>
        <v>1.0000000000000004</v>
      </c>
      <c r="AH412" s="55">
        <f t="shared" si="73"/>
        <v>0</v>
      </c>
      <c r="AI412" s="55">
        <f>COUNTIF('Score BD'!$M412:$P412,"no")</f>
        <v>0</v>
      </c>
      <c r="AJ412" s="55">
        <f t="shared" si="74"/>
        <v>0</v>
      </c>
      <c r="AK412" s="55">
        <f t="shared" si="75"/>
        <v>0</v>
      </c>
      <c r="AL412" s="55">
        <f t="shared" si="76"/>
        <v>0</v>
      </c>
      <c r="AM412" s="157" t="s">
        <v>716</v>
      </c>
      <c r="AN412" s="55"/>
      <c r="AO412" s="61"/>
      <c r="AP412" s="61"/>
      <c r="AQ412" s="59" t="str">
        <f>IFERROR(_xlfn.XLOOKUP(Tabla1[[#This Row],[Cedula agente]],Lista!$B$2:$B$97,Lista!$G$2:$G$97)," ")</f>
        <v>Luisa Fernanda Benavides Castrillon</v>
      </c>
      <c r="AR412" s="59" t="s">
        <v>162</v>
      </c>
      <c r="AS412" s="55" t="str">
        <f>IFERROR(_xlfn.XLOOKUP(Tabla1[[#This Row],[Cedula agente]],Lista!$B$2:$B$97,Lista!$F$2:$F$97)," ")</f>
        <v>John Sebastian Roncancio Avendaño</v>
      </c>
      <c r="AT412" s="99">
        <v>0.95</v>
      </c>
      <c r="AU412" s="200">
        <f>+WEEKNUM('Score BD'!$H412)-WEEKNUM(DATE(YEAR('Score BD'!$H412),MONTH('Score BD'!$H412),1))+1</f>
        <v>5</v>
      </c>
    </row>
    <row r="413" spans="1:47" ht="17.45" customHeight="1" x14ac:dyDescent="0.3">
      <c r="A413" s="49" t="str">
        <f t="shared" si="66"/>
        <v>Ministerio de Educación Nacional</v>
      </c>
      <c r="B413" s="50">
        <f>+IFERROR(COUNTIF($J$3:J413,J413)," ")</f>
        <v>32</v>
      </c>
      <c r="C413" s="54" t="str">
        <f>+'Score BD'!$J413&amp;'Score BD'!$B413</f>
        <v>María José Uribe Medina32</v>
      </c>
      <c r="D413" s="91" t="s">
        <v>148</v>
      </c>
      <c r="E413" s="92" t="s">
        <v>164</v>
      </c>
      <c r="F413" s="92" t="s">
        <v>212</v>
      </c>
      <c r="G413" s="60" t="str">
        <f t="shared" si="67"/>
        <v>Noviembre</v>
      </c>
      <c r="H413" s="205">
        <v>45988</v>
      </c>
      <c r="I413" s="243">
        <v>45987</v>
      </c>
      <c r="J413" s="57" t="s">
        <v>205</v>
      </c>
      <c r="K413" s="54">
        <f>IFERROR(VLOOKUP('Score BD'!$J413,Lista!A:B,2,0)," ")</f>
        <v>1121919150</v>
      </c>
      <c r="L413" s="61" t="s">
        <v>680</v>
      </c>
      <c r="M413" s="59" t="s">
        <v>4</v>
      </c>
      <c r="N413" s="59" t="s">
        <v>4</v>
      </c>
      <c r="O413" s="59" t="s">
        <v>4</v>
      </c>
      <c r="P413" s="59" t="s">
        <v>4</v>
      </c>
      <c r="Q413" s="96">
        <f t="shared" si="68"/>
        <v>1</v>
      </c>
      <c r="R413" s="59" t="s">
        <v>4</v>
      </c>
      <c r="S413" s="59" t="s">
        <v>4</v>
      </c>
      <c r="T413" s="59" t="s">
        <v>4</v>
      </c>
      <c r="U413" s="59" t="s">
        <v>4</v>
      </c>
      <c r="V413" s="45">
        <f t="shared" si="69"/>
        <v>1</v>
      </c>
      <c r="W413" s="59" t="s">
        <v>4</v>
      </c>
      <c r="X413" s="59" t="s">
        <v>4</v>
      </c>
      <c r="Y413" s="59" t="s">
        <v>4</v>
      </c>
      <c r="Z413" s="59" t="s">
        <v>4</v>
      </c>
      <c r="AA413" s="59" t="s">
        <v>4</v>
      </c>
      <c r="AB413" s="59" t="s">
        <v>4</v>
      </c>
      <c r="AC413" s="45">
        <f t="shared" si="70"/>
        <v>1.000000000000002</v>
      </c>
      <c r="AD413" s="43" t="s">
        <v>4</v>
      </c>
      <c r="AE413" s="43" t="s">
        <v>4</v>
      </c>
      <c r="AF413" s="97">
        <f t="shared" si="71"/>
        <v>1</v>
      </c>
      <c r="AG413" s="44">
        <f t="shared" si="72"/>
        <v>1.0000000000000004</v>
      </c>
      <c r="AH413" s="55">
        <f t="shared" si="73"/>
        <v>0</v>
      </c>
      <c r="AI413" s="55">
        <f>COUNTIF('Score BD'!$M413:$P413,"no")</f>
        <v>0</v>
      </c>
      <c r="AJ413" s="55">
        <f t="shared" si="74"/>
        <v>0</v>
      </c>
      <c r="AK413" s="55">
        <f t="shared" si="75"/>
        <v>0</v>
      </c>
      <c r="AL413" s="55">
        <f t="shared" si="76"/>
        <v>0</v>
      </c>
      <c r="AM413" s="157" t="s">
        <v>716</v>
      </c>
      <c r="AN413" s="55"/>
      <c r="AO413" s="61"/>
      <c r="AP413" s="61"/>
      <c r="AQ413" s="59" t="str">
        <f>IFERROR(_xlfn.XLOOKUP(Tabla1[[#This Row],[Cedula agente]],Lista!$B$2:$B$97,Lista!$G$2:$G$97)," ")</f>
        <v>Luisa Fernanda Benavides Castrillon</v>
      </c>
      <c r="AR413" s="59" t="s">
        <v>162</v>
      </c>
      <c r="AS413" s="55" t="str">
        <f>IFERROR(_xlfn.XLOOKUP(Tabla1[[#This Row],[Cedula agente]],Lista!$B$2:$B$97,Lista!$F$2:$F$97)," ")</f>
        <v>John Sebastian Roncancio Avendaño</v>
      </c>
      <c r="AT413" s="99">
        <v>0.95</v>
      </c>
      <c r="AU413" s="200">
        <f>+WEEKNUM('Score BD'!$H413)-WEEKNUM(DATE(YEAR('Score BD'!$H413),MONTH('Score BD'!$H413),1))+1</f>
        <v>5</v>
      </c>
    </row>
    <row r="414" spans="1:47" ht="17.45" customHeight="1" x14ac:dyDescent="0.3">
      <c r="A414" s="49" t="str">
        <f t="shared" si="66"/>
        <v>Ministerio de Educación Nacional</v>
      </c>
      <c r="B414" s="50">
        <f>+IFERROR(COUNTIF($J$3:J414,J414)," ")</f>
        <v>30</v>
      </c>
      <c r="C414" s="54" t="str">
        <f>+'Score BD'!$J414&amp;'Score BD'!$B414</f>
        <v>Natalia Cañón Betancourt30</v>
      </c>
      <c r="D414" s="91" t="s">
        <v>148</v>
      </c>
      <c r="E414" s="92" t="s">
        <v>164</v>
      </c>
      <c r="F414" s="92" t="s">
        <v>212</v>
      </c>
      <c r="G414" s="60" t="str">
        <f t="shared" si="67"/>
        <v>Noviembre</v>
      </c>
      <c r="H414" s="205">
        <v>45988</v>
      </c>
      <c r="I414" s="243">
        <v>45987</v>
      </c>
      <c r="J414" s="57" t="s">
        <v>181</v>
      </c>
      <c r="K414" s="54">
        <f>IFERROR(VLOOKUP('Score BD'!$J414,Lista!A:B,2,0)," ")</f>
        <v>1000383417</v>
      </c>
      <c r="L414" s="61" t="s">
        <v>681</v>
      </c>
      <c r="M414" s="59" t="s">
        <v>4</v>
      </c>
      <c r="N414" s="59" t="s">
        <v>4</v>
      </c>
      <c r="O414" s="59" t="s">
        <v>4</v>
      </c>
      <c r="P414" s="59" t="s">
        <v>4</v>
      </c>
      <c r="Q414" s="96">
        <f t="shared" si="68"/>
        <v>1</v>
      </c>
      <c r="R414" s="59" t="s">
        <v>4</v>
      </c>
      <c r="S414" s="59" t="s">
        <v>4</v>
      </c>
      <c r="T414" s="59" t="s">
        <v>4</v>
      </c>
      <c r="U414" s="59" t="s">
        <v>4</v>
      </c>
      <c r="V414" s="45">
        <f t="shared" si="69"/>
        <v>1</v>
      </c>
      <c r="W414" s="59" t="s">
        <v>4</v>
      </c>
      <c r="X414" s="59" t="s">
        <v>4</v>
      </c>
      <c r="Y414" s="59" t="s">
        <v>4</v>
      </c>
      <c r="Z414" s="59" t="s">
        <v>4</v>
      </c>
      <c r="AA414" s="59" t="s">
        <v>4</v>
      </c>
      <c r="AB414" s="59" t="s">
        <v>4</v>
      </c>
      <c r="AC414" s="45">
        <f t="shared" si="70"/>
        <v>1.000000000000002</v>
      </c>
      <c r="AD414" s="43" t="s">
        <v>4</v>
      </c>
      <c r="AE414" s="43" t="s">
        <v>4</v>
      </c>
      <c r="AF414" s="97">
        <f t="shared" si="71"/>
        <v>1</v>
      </c>
      <c r="AG414" s="44">
        <f t="shared" si="72"/>
        <v>1.0000000000000004</v>
      </c>
      <c r="AH414" s="55">
        <f t="shared" si="73"/>
        <v>0</v>
      </c>
      <c r="AI414" s="55">
        <f>COUNTIF('Score BD'!$M414:$P414,"no")</f>
        <v>0</v>
      </c>
      <c r="AJ414" s="55">
        <f t="shared" si="74"/>
        <v>0</v>
      </c>
      <c r="AK414" s="55">
        <f t="shared" si="75"/>
        <v>0</v>
      </c>
      <c r="AL414" s="55">
        <f t="shared" si="76"/>
        <v>0</v>
      </c>
      <c r="AM414" s="157" t="s">
        <v>716</v>
      </c>
      <c r="AN414" s="55"/>
      <c r="AO414" s="61"/>
      <c r="AP414" s="61"/>
      <c r="AQ414" s="59" t="str">
        <f>IFERROR(_xlfn.XLOOKUP(Tabla1[[#This Row],[Cedula agente]],Lista!$B$2:$B$97,Lista!$G$2:$G$97)," ")</f>
        <v>Luisa Fernanda Benavides Castrillon</v>
      </c>
      <c r="AR414" s="59" t="s">
        <v>162</v>
      </c>
      <c r="AS414" s="55" t="str">
        <f>IFERROR(_xlfn.XLOOKUP(Tabla1[[#This Row],[Cedula agente]],Lista!$B$2:$B$97,Lista!$F$2:$F$97)," ")</f>
        <v>John Sebastian Roncancio Avendaño</v>
      </c>
      <c r="AT414" s="99">
        <v>0.95</v>
      </c>
      <c r="AU414" s="200">
        <f>+WEEKNUM('Score BD'!$H414)-WEEKNUM(DATE(YEAR('Score BD'!$H414),MONTH('Score BD'!$H414),1))+1</f>
        <v>5</v>
      </c>
    </row>
    <row r="415" spans="1:47" ht="17.45" customHeight="1" x14ac:dyDescent="0.3">
      <c r="A415" s="49" t="str">
        <f t="shared" si="66"/>
        <v>Ministerio de Educación Nacional</v>
      </c>
      <c r="B415" s="50">
        <f>+IFERROR(COUNTIF($J$3:J415,J415)," ")</f>
        <v>31</v>
      </c>
      <c r="C415" s="54" t="str">
        <f>+'Score BD'!$J415&amp;'Score BD'!$B415</f>
        <v>Natalia Cañón Betancourt31</v>
      </c>
      <c r="D415" s="91" t="s">
        <v>148</v>
      </c>
      <c r="E415" s="92" t="s">
        <v>164</v>
      </c>
      <c r="F415" s="92" t="s">
        <v>212</v>
      </c>
      <c r="G415" s="60" t="str">
        <f t="shared" si="67"/>
        <v>Noviembre</v>
      </c>
      <c r="H415" s="205">
        <v>45988</v>
      </c>
      <c r="I415" s="243">
        <v>45987</v>
      </c>
      <c r="J415" s="57" t="s">
        <v>181</v>
      </c>
      <c r="K415" s="54">
        <f>IFERROR(VLOOKUP('Score BD'!$J415,Lista!A:B,2,0)," ")</f>
        <v>1000383417</v>
      </c>
      <c r="L415" s="61" t="s">
        <v>682</v>
      </c>
      <c r="M415" s="59" t="s">
        <v>4</v>
      </c>
      <c r="N415" s="59" t="s">
        <v>5</v>
      </c>
      <c r="O415" s="59" t="s">
        <v>4</v>
      </c>
      <c r="P415" s="59" t="s">
        <v>4</v>
      </c>
      <c r="Q415" s="96">
        <f t="shared" si="68"/>
        <v>0.75</v>
      </c>
      <c r="R415" s="59" t="s">
        <v>4</v>
      </c>
      <c r="S415" s="59" t="s">
        <v>4</v>
      </c>
      <c r="T415" s="59" t="s">
        <v>4</v>
      </c>
      <c r="U415" s="59" t="s">
        <v>4</v>
      </c>
      <c r="V415" s="45">
        <f t="shared" si="69"/>
        <v>1</v>
      </c>
      <c r="W415" s="59" t="s">
        <v>4</v>
      </c>
      <c r="X415" s="59" t="s">
        <v>4</v>
      </c>
      <c r="Y415" s="59" t="s">
        <v>4</v>
      </c>
      <c r="Z415" s="59" t="s">
        <v>4</v>
      </c>
      <c r="AA415" s="59" t="s">
        <v>4</v>
      </c>
      <c r="AB415" s="59" t="s">
        <v>4</v>
      </c>
      <c r="AC415" s="45">
        <f t="shared" si="70"/>
        <v>1.000000000000002</v>
      </c>
      <c r="AD415" s="43" t="s">
        <v>4</v>
      </c>
      <c r="AE415" s="43" t="s">
        <v>4</v>
      </c>
      <c r="AF415" s="97">
        <f t="shared" si="71"/>
        <v>1</v>
      </c>
      <c r="AG415" s="44">
        <f t="shared" si="72"/>
        <v>0.93750000000000044</v>
      </c>
      <c r="AH415" s="55">
        <f t="shared" si="73"/>
        <v>0</v>
      </c>
      <c r="AI415" s="55">
        <f>COUNTIF('Score BD'!$M415:$P415,"no")</f>
        <v>1</v>
      </c>
      <c r="AJ415" s="55">
        <f t="shared" si="74"/>
        <v>0</v>
      </c>
      <c r="AK415" s="55">
        <f t="shared" si="75"/>
        <v>0</v>
      </c>
      <c r="AL415" s="55">
        <f t="shared" si="76"/>
        <v>0</v>
      </c>
      <c r="AM415" s="157" t="s">
        <v>720</v>
      </c>
      <c r="AN415" s="55" t="s">
        <v>719</v>
      </c>
      <c r="AO415" s="61" t="s">
        <v>270</v>
      </c>
      <c r="AP415" s="519"/>
      <c r="AQ415" s="59" t="str">
        <f>IFERROR(_xlfn.XLOOKUP(Tabla1[[#This Row],[Cedula agente]],Lista!$B$2:$B$97,Lista!$G$2:$G$97)," ")</f>
        <v>Luisa Fernanda Benavides Castrillon</v>
      </c>
      <c r="AR415" s="59" t="s">
        <v>162</v>
      </c>
      <c r="AS415" s="55" t="str">
        <f>IFERROR(_xlfn.XLOOKUP(Tabla1[[#This Row],[Cedula agente]],Lista!$B$2:$B$97,Lista!$F$2:$F$97)," ")</f>
        <v>John Sebastian Roncancio Avendaño</v>
      </c>
      <c r="AT415" s="99">
        <v>0.95</v>
      </c>
      <c r="AU415" s="200">
        <f>+WEEKNUM('Score BD'!$H415)-WEEKNUM(DATE(YEAR('Score BD'!$H415),MONTH('Score BD'!$H415),1))+1</f>
        <v>5</v>
      </c>
    </row>
    <row r="416" spans="1:47" ht="17.45" customHeight="1" x14ac:dyDescent="0.3">
      <c r="A416" s="49" t="str">
        <f t="shared" si="66"/>
        <v>Ministerio de Educación Nacional</v>
      </c>
      <c r="B416" s="50">
        <f>+IFERROR(COUNTIF($J$3:J416,J416)," ")</f>
        <v>13</v>
      </c>
      <c r="C416" s="54" t="str">
        <f>+'Score BD'!$J416&amp;'Score BD'!$B416</f>
        <v>Quira Alejandra Herrera Camelo13</v>
      </c>
      <c r="D416" s="91" t="s">
        <v>148</v>
      </c>
      <c r="E416" s="92" t="s">
        <v>208</v>
      </c>
      <c r="F416" s="92" t="s">
        <v>212</v>
      </c>
      <c r="G416" s="60" t="str">
        <f t="shared" si="67"/>
        <v>Noviembre</v>
      </c>
      <c r="H416" s="205">
        <v>45988</v>
      </c>
      <c r="I416" s="243">
        <v>45987</v>
      </c>
      <c r="J416" s="57" t="s">
        <v>182</v>
      </c>
      <c r="K416" s="54">
        <f>IFERROR(VLOOKUP('Score BD'!$J416,Lista!A:B,2,0)," ")</f>
        <v>1010214168</v>
      </c>
      <c r="L416" s="61" t="s">
        <v>683</v>
      </c>
      <c r="M416" s="59" t="s">
        <v>4</v>
      </c>
      <c r="N416" s="59" t="s">
        <v>4</v>
      </c>
      <c r="O416" s="59" t="s">
        <v>4</v>
      </c>
      <c r="P416" s="59" t="s">
        <v>4</v>
      </c>
      <c r="Q416" s="96">
        <f t="shared" si="68"/>
        <v>1</v>
      </c>
      <c r="R416" s="59" t="s">
        <v>4</v>
      </c>
      <c r="S416" s="59" t="s">
        <v>4</v>
      </c>
      <c r="T416" s="59" t="s">
        <v>4</v>
      </c>
      <c r="U416" s="59" t="s">
        <v>4</v>
      </c>
      <c r="V416" s="45">
        <f t="shared" si="69"/>
        <v>1</v>
      </c>
      <c r="W416" s="59" t="s">
        <v>4</v>
      </c>
      <c r="X416" s="59" t="s">
        <v>4</v>
      </c>
      <c r="Y416" s="59" t="s">
        <v>4</v>
      </c>
      <c r="Z416" s="59" t="s">
        <v>4</v>
      </c>
      <c r="AA416" s="59" t="s">
        <v>4</v>
      </c>
      <c r="AB416" s="59" t="s">
        <v>4</v>
      </c>
      <c r="AC416" s="45">
        <f t="shared" si="70"/>
        <v>1.000000000000002</v>
      </c>
      <c r="AD416" s="43" t="s">
        <v>4</v>
      </c>
      <c r="AE416" s="43" t="s">
        <v>4</v>
      </c>
      <c r="AF416" s="97">
        <f t="shared" si="71"/>
        <v>1</v>
      </c>
      <c r="AG416" s="44">
        <f t="shared" si="72"/>
        <v>1.0000000000000004</v>
      </c>
      <c r="AH416" s="55">
        <f t="shared" si="73"/>
        <v>0</v>
      </c>
      <c r="AI416" s="55">
        <f>COUNTIF('Score BD'!$M416:$P416,"no")</f>
        <v>0</v>
      </c>
      <c r="AJ416" s="55">
        <f t="shared" si="74"/>
        <v>0</v>
      </c>
      <c r="AK416" s="55">
        <f t="shared" si="75"/>
        <v>0</v>
      </c>
      <c r="AL416" s="55">
        <f t="shared" si="76"/>
        <v>0</v>
      </c>
      <c r="AM416" s="157" t="s">
        <v>716</v>
      </c>
      <c r="AN416" s="55"/>
      <c r="AO416" s="61"/>
      <c r="AP416" s="61"/>
      <c r="AQ416" s="59" t="str">
        <f>IFERROR(_xlfn.XLOOKUP(Tabla1[[#This Row],[Cedula agente]],Lista!$B$2:$B$97,Lista!$G$2:$G$97)," ")</f>
        <v>Luisa Fernanda Benavides Castrillon</v>
      </c>
      <c r="AR416" s="59" t="s">
        <v>162</v>
      </c>
      <c r="AS416" s="55" t="str">
        <f>IFERROR(_xlfn.XLOOKUP(Tabla1[[#This Row],[Cedula agente]],Lista!$B$2:$B$97,Lista!$F$2:$F$97)," ")</f>
        <v>John Sebastian Roncancio Avendaño</v>
      </c>
      <c r="AT416" s="99">
        <v>0.95</v>
      </c>
      <c r="AU416" s="200">
        <f>+WEEKNUM('Score BD'!$H416)-WEEKNUM(DATE(YEAR('Score BD'!$H416),MONTH('Score BD'!$H416),1))+1</f>
        <v>5</v>
      </c>
    </row>
    <row r="417" spans="1:47" ht="17.45" customHeight="1" x14ac:dyDescent="0.3">
      <c r="A417" s="49" t="str">
        <f t="shared" si="66"/>
        <v>Ministerio de Educación Nacional</v>
      </c>
      <c r="B417" s="50">
        <f>+IFERROR(COUNTIF($J$3:J417,J417)," ")</f>
        <v>17</v>
      </c>
      <c r="C417" s="54" t="str">
        <f>+'Score BD'!$J417&amp;'Score BD'!$B417</f>
        <v>Valentina Castillo Rondón17</v>
      </c>
      <c r="D417" s="91" t="s">
        <v>148</v>
      </c>
      <c r="E417" s="92" t="s">
        <v>165</v>
      </c>
      <c r="F417" s="92" t="s">
        <v>212</v>
      </c>
      <c r="G417" s="60" t="str">
        <f t="shared" si="67"/>
        <v>Noviembre</v>
      </c>
      <c r="H417" s="205">
        <v>45988</v>
      </c>
      <c r="I417" s="243">
        <v>45987</v>
      </c>
      <c r="J417" s="57" t="s">
        <v>183</v>
      </c>
      <c r="K417" s="54">
        <f>IFERROR(VLOOKUP('Score BD'!$J417,Lista!A:B,2,0)," ")</f>
        <v>1121950095</v>
      </c>
      <c r="L417" s="61" t="s">
        <v>684</v>
      </c>
      <c r="M417" s="59" t="s">
        <v>4</v>
      </c>
      <c r="N417" s="59" t="s">
        <v>4</v>
      </c>
      <c r="O417" s="59" t="s">
        <v>4</v>
      </c>
      <c r="P417" s="59" t="s">
        <v>4</v>
      </c>
      <c r="Q417" s="96">
        <f t="shared" si="68"/>
        <v>1</v>
      </c>
      <c r="R417" s="59" t="s">
        <v>4</v>
      </c>
      <c r="S417" s="59" t="s">
        <v>4</v>
      </c>
      <c r="T417" s="59" t="s">
        <v>4</v>
      </c>
      <c r="U417" s="59" t="s">
        <v>4</v>
      </c>
      <c r="V417" s="45">
        <f t="shared" si="69"/>
        <v>1</v>
      </c>
      <c r="W417" s="59" t="s">
        <v>4</v>
      </c>
      <c r="X417" s="59" t="s">
        <v>4</v>
      </c>
      <c r="Y417" s="59" t="s">
        <v>4</v>
      </c>
      <c r="Z417" s="59" t="s">
        <v>4</v>
      </c>
      <c r="AA417" s="59" t="s">
        <v>4</v>
      </c>
      <c r="AB417" s="59" t="s">
        <v>4</v>
      </c>
      <c r="AC417" s="45">
        <f t="shared" si="70"/>
        <v>1.000000000000002</v>
      </c>
      <c r="AD417" s="43" t="s">
        <v>4</v>
      </c>
      <c r="AE417" s="43" t="s">
        <v>4</v>
      </c>
      <c r="AF417" s="97">
        <f t="shared" si="71"/>
        <v>1</v>
      </c>
      <c r="AG417" s="44">
        <f t="shared" si="72"/>
        <v>1.0000000000000004</v>
      </c>
      <c r="AH417" s="55">
        <f t="shared" si="73"/>
        <v>0</v>
      </c>
      <c r="AI417" s="55">
        <f>COUNTIF('Score BD'!$M417:$P417,"no")</f>
        <v>0</v>
      </c>
      <c r="AJ417" s="55">
        <f t="shared" si="74"/>
        <v>0</v>
      </c>
      <c r="AK417" s="55">
        <f t="shared" si="75"/>
        <v>0</v>
      </c>
      <c r="AL417" s="55">
        <f t="shared" si="76"/>
        <v>0</v>
      </c>
      <c r="AM417" s="157" t="s">
        <v>716</v>
      </c>
      <c r="AN417" s="55"/>
      <c r="AO417" s="61"/>
      <c r="AP417" s="61"/>
      <c r="AQ417" s="59" t="str">
        <f>IFERROR(_xlfn.XLOOKUP(Tabla1[[#This Row],[Cedula agente]],Lista!$B$2:$B$97,Lista!$G$2:$G$97)," ")</f>
        <v>Luisa Fernanda Benavides Castrillon</v>
      </c>
      <c r="AR417" s="59" t="s">
        <v>162</v>
      </c>
      <c r="AS417" s="55" t="str">
        <f>IFERROR(_xlfn.XLOOKUP(Tabla1[[#This Row],[Cedula agente]],Lista!$B$2:$B$97,Lista!$F$2:$F$97)," ")</f>
        <v>John Sebastian Roncancio Avendaño</v>
      </c>
      <c r="AT417" s="99">
        <v>0.95</v>
      </c>
      <c r="AU417" s="200">
        <f>+WEEKNUM('Score BD'!$H417)-WEEKNUM(DATE(YEAR('Score BD'!$H417),MONTH('Score BD'!$H417),1))+1</f>
        <v>5</v>
      </c>
    </row>
    <row r="418" spans="1:47" ht="17.45" customHeight="1" x14ac:dyDescent="0.3">
      <c r="A418" s="49" t="str">
        <f t="shared" si="66"/>
        <v>Ministerio de Educación Nacional</v>
      </c>
      <c r="B418" s="50">
        <f>+IFERROR(COUNTIF($J$3:J418,J418)," ")</f>
        <v>19</v>
      </c>
      <c r="C418" s="54" t="str">
        <f>+'Score BD'!$J418&amp;'Score BD'!$B418</f>
        <v>Yenny Maribel Duran Ovejero19</v>
      </c>
      <c r="D418" s="91" t="s">
        <v>148</v>
      </c>
      <c r="E418" s="92" t="s">
        <v>165</v>
      </c>
      <c r="F418" s="92" t="s">
        <v>212</v>
      </c>
      <c r="G418" s="60" t="str">
        <f t="shared" si="67"/>
        <v>Noviembre</v>
      </c>
      <c r="H418" s="205">
        <v>45988</v>
      </c>
      <c r="I418" s="243">
        <v>45987</v>
      </c>
      <c r="J418" s="57" t="s">
        <v>206</v>
      </c>
      <c r="K418" s="54">
        <f>IFERROR(VLOOKUP('Score BD'!$J418,Lista!A:B,2,0)," ")</f>
        <v>52962387</v>
      </c>
      <c r="L418" s="61" t="s">
        <v>685</v>
      </c>
      <c r="M418" s="59" t="s">
        <v>4</v>
      </c>
      <c r="N418" s="59" t="s">
        <v>4</v>
      </c>
      <c r="O418" s="59" t="s">
        <v>4</v>
      </c>
      <c r="P418" s="59" t="s">
        <v>4</v>
      </c>
      <c r="Q418" s="96">
        <f t="shared" si="68"/>
        <v>1</v>
      </c>
      <c r="R418" s="59" t="s">
        <v>4</v>
      </c>
      <c r="S418" s="59" t="s">
        <v>4</v>
      </c>
      <c r="T418" s="59" t="s">
        <v>4</v>
      </c>
      <c r="U418" s="59" t="s">
        <v>4</v>
      </c>
      <c r="V418" s="45">
        <f t="shared" si="69"/>
        <v>1</v>
      </c>
      <c r="W418" s="59" t="s">
        <v>4</v>
      </c>
      <c r="X418" s="59" t="s">
        <v>4</v>
      </c>
      <c r="Y418" s="59" t="s">
        <v>4</v>
      </c>
      <c r="Z418" s="59" t="s">
        <v>4</v>
      </c>
      <c r="AA418" s="59" t="s">
        <v>4</v>
      </c>
      <c r="AB418" s="59" t="s">
        <v>4</v>
      </c>
      <c r="AC418" s="45">
        <f t="shared" si="70"/>
        <v>1.000000000000002</v>
      </c>
      <c r="AD418" s="43" t="s">
        <v>4</v>
      </c>
      <c r="AE418" s="43" t="s">
        <v>4</v>
      </c>
      <c r="AF418" s="97">
        <f t="shared" si="71"/>
        <v>1</v>
      </c>
      <c r="AG418" s="44">
        <f t="shared" si="72"/>
        <v>1.0000000000000004</v>
      </c>
      <c r="AH418" s="55">
        <f t="shared" si="73"/>
        <v>0</v>
      </c>
      <c r="AI418" s="55">
        <f>COUNTIF('Score BD'!$M418:$P418,"no")</f>
        <v>0</v>
      </c>
      <c r="AJ418" s="55">
        <f t="shared" si="74"/>
        <v>0</v>
      </c>
      <c r="AK418" s="55">
        <f t="shared" si="75"/>
        <v>0</v>
      </c>
      <c r="AL418" s="55">
        <f t="shared" si="76"/>
        <v>0</v>
      </c>
      <c r="AM418" s="157" t="s">
        <v>716</v>
      </c>
      <c r="AN418" s="55"/>
      <c r="AO418" s="61"/>
      <c r="AP418" s="61"/>
      <c r="AQ418" s="59" t="str">
        <f>IFERROR(_xlfn.XLOOKUP(Tabla1[[#This Row],[Cedula agente]],Lista!$B$2:$B$97,Lista!$G$2:$G$97)," ")</f>
        <v>Luisa Fernanda Benavides Castrillon</v>
      </c>
      <c r="AR418" s="59" t="s">
        <v>162</v>
      </c>
      <c r="AS418" s="55" t="str">
        <f>IFERROR(_xlfn.XLOOKUP(Tabla1[[#This Row],[Cedula agente]],Lista!$B$2:$B$97,Lista!$F$2:$F$97)," ")</f>
        <v>John Sebastian Roncancio Avendaño</v>
      </c>
      <c r="AT418" s="99">
        <v>0.95</v>
      </c>
      <c r="AU418" s="200">
        <f>+WEEKNUM('Score BD'!$H418)-WEEKNUM(DATE(YEAR('Score BD'!$H418),MONTH('Score BD'!$H418),1))+1</f>
        <v>5</v>
      </c>
    </row>
    <row r="419" spans="1:47" ht="17.45" customHeight="1" x14ac:dyDescent="0.3">
      <c r="A419" s="49" t="str">
        <f t="shared" si="66"/>
        <v>Ministerio de Educación Nacional</v>
      </c>
      <c r="B419" s="50">
        <f>+IFERROR(COUNTIF($J$3:J419,J419)," ")</f>
        <v>20</v>
      </c>
      <c r="C419" s="54" t="str">
        <f>+'Score BD'!$J419&amp;'Score BD'!$B419</f>
        <v>Yenny Maribel Duran Ovejero20</v>
      </c>
      <c r="D419" s="91" t="s">
        <v>148</v>
      </c>
      <c r="E419" s="92" t="s">
        <v>165</v>
      </c>
      <c r="F419" s="92" t="s">
        <v>212</v>
      </c>
      <c r="G419" s="60" t="str">
        <f t="shared" si="67"/>
        <v>Noviembre</v>
      </c>
      <c r="H419" s="205">
        <v>45988</v>
      </c>
      <c r="I419" s="243">
        <v>45987</v>
      </c>
      <c r="J419" s="57" t="s">
        <v>206</v>
      </c>
      <c r="K419" s="54">
        <f>IFERROR(VLOOKUP('Score BD'!$J419,Lista!A:B,2,0)," ")</f>
        <v>52962387</v>
      </c>
      <c r="L419" s="61" t="s">
        <v>686</v>
      </c>
      <c r="M419" s="59" t="s">
        <v>4</v>
      </c>
      <c r="N419" s="59" t="s">
        <v>4</v>
      </c>
      <c r="O419" s="59" t="s">
        <v>4</v>
      </c>
      <c r="P419" s="59" t="s">
        <v>4</v>
      </c>
      <c r="Q419" s="96">
        <f t="shared" si="68"/>
        <v>1</v>
      </c>
      <c r="R419" s="59" t="s">
        <v>4</v>
      </c>
      <c r="S419" s="59" t="s">
        <v>4</v>
      </c>
      <c r="T419" s="59" t="s">
        <v>4</v>
      </c>
      <c r="U419" s="59" t="s">
        <v>4</v>
      </c>
      <c r="V419" s="45">
        <f t="shared" si="69"/>
        <v>1</v>
      </c>
      <c r="W419" s="59" t="s">
        <v>4</v>
      </c>
      <c r="X419" s="59" t="s">
        <v>4</v>
      </c>
      <c r="Y419" s="59" t="s">
        <v>4</v>
      </c>
      <c r="Z419" s="59" t="s">
        <v>4</v>
      </c>
      <c r="AA419" s="59" t="s">
        <v>4</v>
      </c>
      <c r="AB419" s="59" t="s">
        <v>4</v>
      </c>
      <c r="AC419" s="45">
        <f t="shared" si="70"/>
        <v>1.000000000000002</v>
      </c>
      <c r="AD419" s="43" t="s">
        <v>4</v>
      </c>
      <c r="AE419" s="43" t="s">
        <v>4</v>
      </c>
      <c r="AF419" s="97">
        <f t="shared" si="71"/>
        <v>1</v>
      </c>
      <c r="AG419" s="44">
        <f t="shared" si="72"/>
        <v>1.0000000000000004</v>
      </c>
      <c r="AH419" s="55">
        <f t="shared" si="73"/>
        <v>0</v>
      </c>
      <c r="AI419" s="55">
        <f>COUNTIF('Score BD'!$M419:$P419,"no")</f>
        <v>0</v>
      </c>
      <c r="AJ419" s="55">
        <f t="shared" si="74"/>
        <v>0</v>
      </c>
      <c r="AK419" s="55">
        <f t="shared" si="75"/>
        <v>0</v>
      </c>
      <c r="AL419" s="55">
        <f t="shared" si="76"/>
        <v>0</v>
      </c>
      <c r="AM419" s="157" t="s">
        <v>716</v>
      </c>
      <c r="AN419" s="157"/>
      <c r="AO419" s="157"/>
      <c r="AP419" s="157"/>
      <c r="AQ419" s="59" t="str">
        <f>IFERROR(_xlfn.XLOOKUP(Tabla1[[#This Row],[Cedula agente]],Lista!$B$2:$B$97,Lista!$G$2:$G$97)," ")</f>
        <v>Luisa Fernanda Benavides Castrillon</v>
      </c>
      <c r="AR419" s="59" t="s">
        <v>162</v>
      </c>
      <c r="AS419" s="55" t="str">
        <f>IFERROR(_xlfn.XLOOKUP(Tabla1[[#This Row],[Cedula agente]],Lista!$B$2:$B$97,Lista!$F$2:$F$97)," ")</f>
        <v>John Sebastian Roncancio Avendaño</v>
      </c>
      <c r="AT419" s="99">
        <v>0.95</v>
      </c>
      <c r="AU419" s="200">
        <f>+WEEKNUM('Score BD'!$H419)-WEEKNUM(DATE(YEAR('Score BD'!$H419),MONTH('Score BD'!$H419),1))+1</f>
        <v>5</v>
      </c>
    </row>
    <row r="420" spans="1:47" ht="17.45" customHeight="1" x14ac:dyDescent="0.3">
      <c r="A420" s="49" t="str">
        <f t="shared" si="66"/>
        <v>Ministerio de Educación Nacional</v>
      </c>
      <c r="B420" s="50">
        <f>+IFERROR(COUNTIF($J$3:J420,J420)," ")</f>
        <v>46</v>
      </c>
      <c r="C420" s="54" t="str">
        <f>+'Score BD'!$J420&amp;'Score BD'!$B420</f>
        <v>Ana Graciela Barbosa Villalobos46</v>
      </c>
      <c r="D420" s="91" t="s">
        <v>148</v>
      </c>
      <c r="E420" s="92" t="s">
        <v>210</v>
      </c>
      <c r="F420" s="92" t="s">
        <v>212</v>
      </c>
      <c r="G420" s="60" t="str">
        <f t="shared" si="67"/>
        <v>Noviembre</v>
      </c>
      <c r="H420" s="67">
        <v>45989</v>
      </c>
      <c r="I420" s="243">
        <v>45988</v>
      </c>
      <c r="J420" s="57" t="s">
        <v>171</v>
      </c>
      <c r="K420" s="54">
        <f>IFERROR(VLOOKUP('Score BD'!$J420,Lista!A:B,2,0)," ")</f>
        <v>1026264261</v>
      </c>
      <c r="L420" s="61" t="s">
        <v>687</v>
      </c>
      <c r="M420" s="59" t="s">
        <v>4</v>
      </c>
      <c r="N420" s="59" t="s">
        <v>4</v>
      </c>
      <c r="O420" s="59" t="s">
        <v>4</v>
      </c>
      <c r="P420" s="59" t="s">
        <v>4</v>
      </c>
      <c r="Q420" s="96">
        <f t="shared" si="68"/>
        <v>1</v>
      </c>
      <c r="R420" s="59" t="s">
        <v>4</v>
      </c>
      <c r="S420" s="59" t="s">
        <v>4</v>
      </c>
      <c r="T420" s="59" t="s">
        <v>4</v>
      </c>
      <c r="U420" s="59" t="s">
        <v>4</v>
      </c>
      <c r="V420" s="45">
        <f t="shared" si="69"/>
        <v>1</v>
      </c>
      <c r="W420" s="59" t="s">
        <v>4</v>
      </c>
      <c r="X420" s="59" t="s">
        <v>4</v>
      </c>
      <c r="Y420" s="59" t="s">
        <v>4</v>
      </c>
      <c r="Z420" s="59" t="s">
        <v>4</v>
      </c>
      <c r="AA420" s="59" t="s">
        <v>4</v>
      </c>
      <c r="AB420" s="59" t="s">
        <v>4</v>
      </c>
      <c r="AC420" s="45">
        <f t="shared" si="70"/>
        <v>1.000000000000002</v>
      </c>
      <c r="AD420" s="43" t="s">
        <v>4</v>
      </c>
      <c r="AE420" s="43" t="s">
        <v>4</v>
      </c>
      <c r="AF420" s="97">
        <f t="shared" si="71"/>
        <v>1</v>
      </c>
      <c r="AG420" s="44">
        <f t="shared" si="72"/>
        <v>1.0000000000000004</v>
      </c>
      <c r="AH420" s="55">
        <f t="shared" si="73"/>
        <v>0</v>
      </c>
      <c r="AI420" s="55">
        <f>COUNTIF('Score BD'!$M420:$P420,"no")</f>
        <v>0</v>
      </c>
      <c r="AJ420" s="55">
        <f t="shared" si="74"/>
        <v>0</v>
      </c>
      <c r="AK420" s="55">
        <f t="shared" si="75"/>
        <v>0</v>
      </c>
      <c r="AL420" s="55">
        <f t="shared" si="76"/>
        <v>0</v>
      </c>
      <c r="AM420" s="157" t="s">
        <v>717</v>
      </c>
      <c r="AN420" s="55"/>
      <c r="AO420" s="61"/>
      <c r="AP420" s="61"/>
      <c r="AQ420" s="59" t="str">
        <f>IFERROR(_xlfn.XLOOKUP(Tabla1[[#This Row],[Cedula agente]],Lista!$B$2:$B$97,Lista!$G$2:$G$97)," ")</f>
        <v>Luisa Fernanda Benavides Castrillon</v>
      </c>
      <c r="AR420" s="59" t="s">
        <v>162</v>
      </c>
      <c r="AS420" s="55" t="str">
        <f>IFERROR(_xlfn.XLOOKUP(Tabla1[[#This Row],[Cedula agente]],Lista!$B$2:$B$97,Lista!$F$2:$F$97)," ")</f>
        <v>John Sebastian Roncancio Avendaño</v>
      </c>
      <c r="AT420" s="99">
        <v>0.95</v>
      </c>
      <c r="AU420" s="200">
        <f>+WEEKNUM('Score BD'!$H420)-WEEKNUM(DATE(YEAR('Score BD'!$H420),MONTH('Score BD'!$H420),1))+1</f>
        <v>5</v>
      </c>
    </row>
    <row r="421" spans="1:47" ht="17.45" customHeight="1" x14ac:dyDescent="0.3">
      <c r="A421" s="49" t="str">
        <f t="shared" si="66"/>
        <v>Ministerio de Educación Nacional</v>
      </c>
      <c r="B421" s="50">
        <f>+IFERROR(COUNTIF($J$3:J421,J421)," ")</f>
        <v>47</v>
      </c>
      <c r="C421" s="54" t="str">
        <f>+'Score BD'!$J421&amp;'Score BD'!$B421</f>
        <v>Ana Graciela Barbosa Villalobos47</v>
      </c>
      <c r="D421" s="91" t="s">
        <v>148</v>
      </c>
      <c r="E421" s="92" t="s">
        <v>210</v>
      </c>
      <c r="F421" s="92" t="s">
        <v>212</v>
      </c>
      <c r="G421" s="60" t="str">
        <f t="shared" si="67"/>
        <v>Noviembre</v>
      </c>
      <c r="H421" s="67">
        <v>45989</v>
      </c>
      <c r="I421" s="243">
        <v>45988</v>
      </c>
      <c r="J421" s="57" t="s">
        <v>171</v>
      </c>
      <c r="K421" s="54">
        <f>IFERROR(VLOOKUP('Score BD'!$J421,Lista!A:B,2,0)," ")</f>
        <v>1026264261</v>
      </c>
      <c r="L421" s="61" t="s">
        <v>688</v>
      </c>
      <c r="M421" s="59" t="s">
        <v>4</v>
      </c>
      <c r="N421" s="59" t="s">
        <v>4</v>
      </c>
      <c r="O421" s="59" t="s">
        <v>4</v>
      </c>
      <c r="P421" s="59" t="s">
        <v>4</v>
      </c>
      <c r="Q421" s="96">
        <f t="shared" si="68"/>
        <v>1</v>
      </c>
      <c r="R421" s="59" t="s">
        <v>4</v>
      </c>
      <c r="S421" s="59" t="s">
        <v>4</v>
      </c>
      <c r="T421" s="59" t="s">
        <v>4</v>
      </c>
      <c r="U421" s="59" t="s">
        <v>4</v>
      </c>
      <c r="V421" s="45">
        <f t="shared" si="69"/>
        <v>1</v>
      </c>
      <c r="W421" s="59" t="s">
        <v>4</v>
      </c>
      <c r="X421" s="59" t="s">
        <v>4</v>
      </c>
      <c r="Y421" s="59" t="s">
        <v>4</v>
      </c>
      <c r="Z421" s="59" t="s">
        <v>4</v>
      </c>
      <c r="AA421" s="59" t="s">
        <v>4</v>
      </c>
      <c r="AB421" s="59" t="s">
        <v>4</v>
      </c>
      <c r="AC421" s="45">
        <f t="shared" si="70"/>
        <v>1.000000000000002</v>
      </c>
      <c r="AD421" s="43" t="s">
        <v>4</v>
      </c>
      <c r="AE421" s="43" t="s">
        <v>4</v>
      </c>
      <c r="AF421" s="97">
        <f t="shared" si="71"/>
        <v>1</v>
      </c>
      <c r="AG421" s="44">
        <f t="shared" si="72"/>
        <v>1.0000000000000004</v>
      </c>
      <c r="AH421" s="55">
        <f t="shared" si="73"/>
        <v>0</v>
      </c>
      <c r="AI421" s="55">
        <f>COUNTIF('Score BD'!$M421:$P421,"no")</f>
        <v>0</v>
      </c>
      <c r="AJ421" s="55">
        <f t="shared" si="74"/>
        <v>0</v>
      </c>
      <c r="AK421" s="55">
        <f t="shared" si="75"/>
        <v>0</v>
      </c>
      <c r="AL421" s="55">
        <f t="shared" si="76"/>
        <v>0</v>
      </c>
      <c r="AM421" s="157" t="s">
        <v>717</v>
      </c>
      <c r="AN421" s="55"/>
      <c r="AO421" s="61"/>
      <c r="AP421" s="61"/>
      <c r="AQ421" s="59" t="str">
        <f>IFERROR(_xlfn.XLOOKUP(Tabla1[[#This Row],[Cedula agente]],Lista!$B$2:$B$97,Lista!$G$2:$G$97)," ")</f>
        <v>Luisa Fernanda Benavides Castrillon</v>
      </c>
      <c r="AR421" s="59" t="s">
        <v>162</v>
      </c>
      <c r="AS421" s="55" t="str">
        <f>IFERROR(_xlfn.XLOOKUP(Tabla1[[#This Row],[Cedula agente]],Lista!$B$2:$B$97,Lista!$F$2:$F$97)," ")</f>
        <v>John Sebastian Roncancio Avendaño</v>
      </c>
      <c r="AT421" s="99">
        <v>0.95</v>
      </c>
      <c r="AU421" s="200">
        <f>+WEEKNUM('Score BD'!$H421)-WEEKNUM(DATE(YEAR('Score BD'!$H421),MONTH('Score BD'!$H421),1))+1</f>
        <v>5</v>
      </c>
    </row>
    <row r="422" spans="1:47" ht="17.45" customHeight="1" x14ac:dyDescent="0.3">
      <c r="A422" s="49" t="str">
        <f t="shared" si="66"/>
        <v>Ministerio de Educación Nacional</v>
      </c>
      <c r="B422" s="50">
        <f>+IFERROR(COUNTIF($J$3:J422,J422)," ")</f>
        <v>48</v>
      </c>
      <c r="C422" s="54" t="str">
        <f>+'Score BD'!$J422&amp;'Score BD'!$B422</f>
        <v>Ana Graciela Barbosa Villalobos48</v>
      </c>
      <c r="D422" s="91" t="s">
        <v>148</v>
      </c>
      <c r="E422" s="92" t="s">
        <v>210</v>
      </c>
      <c r="F422" s="92" t="s">
        <v>212</v>
      </c>
      <c r="G422" s="60" t="str">
        <f t="shared" si="67"/>
        <v>Noviembre</v>
      </c>
      <c r="H422" s="67">
        <v>45989</v>
      </c>
      <c r="I422" s="243">
        <v>45988</v>
      </c>
      <c r="J422" s="57" t="s">
        <v>171</v>
      </c>
      <c r="K422" s="54">
        <f>IFERROR(VLOOKUP('Score BD'!$J422,Lista!A:B,2,0)," ")</f>
        <v>1026264261</v>
      </c>
      <c r="L422" s="61" t="s">
        <v>689</v>
      </c>
      <c r="M422" s="59" t="s">
        <v>4</v>
      </c>
      <c r="N422" s="59" t="s">
        <v>4</v>
      </c>
      <c r="O422" s="59" t="s">
        <v>4</v>
      </c>
      <c r="P422" s="59" t="s">
        <v>4</v>
      </c>
      <c r="Q422" s="96">
        <f t="shared" si="68"/>
        <v>1</v>
      </c>
      <c r="R422" s="59" t="s">
        <v>4</v>
      </c>
      <c r="S422" s="59" t="s">
        <v>4</v>
      </c>
      <c r="T422" s="59" t="s">
        <v>4</v>
      </c>
      <c r="U422" s="59" t="s">
        <v>4</v>
      </c>
      <c r="V422" s="45">
        <f t="shared" si="69"/>
        <v>1</v>
      </c>
      <c r="W422" s="59" t="s">
        <v>4</v>
      </c>
      <c r="X422" s="59" t="s">
        <v>4</v>
      </c>
      <c r="Y422" s="59" t="s">
        <v>4</v>
      </c>
      <c r="Z422" s="59" t="s">
        <v>4</v>
      </c>
      <c r="AA422" s="59" t="s">
        <v>4</v>
      </c>
      <c r="AB422" s="59" t="s">
        <v>4</v>
      </c>
      <c r="AC422" s="45">
        <f t="shared" si="70"/>
        <v>1.000000000000002</v>
      </c>
      <c r="AD422" s="43" t="s">
        <v>4</v>
      </c>
      <c r="AE422" s="43" t="s">
        <v>4</v>
      </c>
      <c r="AF422" s="97">
        <f t="shared" si="71"/>
        <v>1</v>
      </c>
      <c r="AG422" s="44">
        <f t="shared" si="72"/>
        <v>1.0000000000000004</v>
      </c>
      <c r="AH422" s="55">
        <f t="shared" si="73"/>
        <v>0</v>
      </c>
      <c r="AI422" s="55">
        <f>COUNTIF('Score BD'!$M422:$P422,"no")</f>
        <v>0</v>
      </c>
      <c r="AJ422" s="55">
        <f t="shared" si="74"/>
        <v>0</v>
      </c>
      <c r="AK422" s="55">
        <f t="shared" si="75"/>
        <v>0</v>
      </c>
      <c r="AL422" s="55">
        <f t="shared" si="76"/>
        <v>0</v>
      </c>
      <c r="AM422" s="157" t="s">
        <v>717</v>
      </c>
      <c r="AN422" s="55"/>
      <c r="AO422" s="61"/>
      <c r="AP422" s="61"/>
      <c r="AQ422" s="59" t="str">
        <f>IFERROR(_xlfn.XLOOKUP(Tabla1[[#This Row],[Cedula agente]],Lista!$B$2:$B$97,Lista!$G$2:$G$97)," ")</f>
        <v>Luisa Fernanda Benavides Castrillon</v>
      </c>
      <c r="AR422" s="59" t="s">
        <v>162</v>
      </c>
      <c r="AS422" s="55" t="str">
        <f>IFERROR(_xlfn.XLOOKUP(Tabla1[[#This Row],[Cedula agente]],Lista!$B$2:$B$97,Lista!$F$2:$F$97)," ")</f>
        <v>John Sebastian Roncancio Avendaño</v>
      </c>
      <c r="AT422" s="99">
        <v>0.95</v>
      </c>
      <c r="AU422" s="200">
        <f>+WEEKNUM('Score BD'!$H422)-WEEKNUM(DATE(YEAR('Score BD'!$H422),MONTH('Score BD'!$H422),1))+1</f>
        <v>5</v>
      </c>
    </row>
    <row r="423" spans="1:47" ht="17.45" customHeight="1" x14ac:dyDescent="0.3">
      <c r="A423" s="49" t="str">
        <f t="shared" si="66"/>
        <v>Ministerio de Educación Nacional</v>
      </c>
      <c r="B423" s="50">
        <f>+IFERROR(COUNTIF($J$3:J423,J423)," ")</f>
        <v>14</v>
      </c>
      <c r="C423" s="54" t="str">
        <f>+'Score BD'!$J423&amp;'Score BD'!$B423</f>
        <v>Andrés Felipe Silva Martínez14</v>
      </c>
      <c r="D423" s="91" t="s">
        <v>148</v>
      </c>
      <c r="E423" s="92" t="s">
        <v>208</v>
      </c>
      <c r="F423" s="92" t="s">
        <v>105</v>
      </c>
      <c r="G423" s="60" t="str">
        <f t="shared" si="67"/>
        <v>Noviembre</v>
      </c>
      <c r="H423" s="67">
        <v>45989</v>
      </c>
      <c r="I423" s="243">
        <v>45988</v>
      </c>
      <c r="J423" s="57" t="s">
        <v>228</v>
      </c>
      <c r="K423" s="54">
        <f>IFERROR(VLOOKUP('Score BD'!$J423,Lista!A:B,2,0)," ")</f>
        <v>1120362660</v>
      </c>
      <c r="L423" s="61" t="s">
        <v>690</v>
      </c>
      <c r="M423" s="59" t="s">
        <v>4</v>
      </c>
      <c r="N423" s="59" t="s">
        <v>4</v>
      </c>
      <c r="O423" s="59" t="s">
        <v>4</v>
      </c>
      <c r="P423" s="59" t="s">
        <v>4</v>
      </c>
      <c r="Q423" s="96">
        <f t="shared" si="68"/>
        <v>1</v>
      </c>
      <c r="R423" s="59" t="s">
        <v>4</v>
      </c>
      <c r="S423" s="59" t="s">
        <v>4</v>
      </c>
      <c r="T423" s="59" t="s">
        <v>4</v>
      </c>
      <c r="U423" s="59" t="s">
        <v>5</v>
      </c>
      <c r="V423" s="45">
        <f t="shared" si="69"/>
        <v>0.75</v>
      </c>
      <c r="W423" s="59" t="s">
        <v>4</v>
      </c>
      <c r="X423" s="59" t="s">
        <v>4</v>
      </c>
      <c r="Y423" s="59" t="s">
        <v>4</v>
      </c>
      <c r="Z423" s="59" t="s">
        <v>4</v>
      </c>
      <c r="AA423" s="59" t="s">
        <v>4</v>
      </c>
      <c r="AB423" s="59" t="s">
        <v>4</v>
      </c>
      <c r="AC423" s="45">
        <f t="shared" si="70"/>
        <v>1.000000000000002</v>
      </c>
      <c r="AD423" s="43" t="s">
        <v>4</v>
      </c>
      <c r="AE423" s="43" t="s">
        <v>4</v>
      </c>
      <c r="AF423" s="97">
        <f t="shared" si="71"/>
        <v>1</v>
      </c>
      <c r="AG423" s="44">
        <f t="shared" si="72"/>
        <v>0.93750000000000044</v>
      </c>
      <c r="AH423" s="55">
        <f t="shared" si="73"/>
        <v>1</v>
      </c>
      <c r="AI423" s="55">
        <f>COUNTIF('Score BD'!$M423:$P423,"no")</f>
        <v>0</v>
      </c>
      <c r="AJ423" s="55">
        <f t="shared" si="74"/>
        <v>1</v>
      </c>
      <c r="AK423" s="55">
        <f t="shared" si="75"/>
        <v>0</v>
      </c>
      <c r="AL423" s="55">
        <f t="shared" si="76"/>
        <v>0</v>
      </c>
      <c r="AM423" s="157" t="s">
        <v>721</v>
      </c>
      <c r="AN423" s="55" t="s">
        <v>722</v>
      </c>
      <c r="AO423" s="61" t="s">
        <v>270</v>
      </c>
      <c r="AP423" s="519"/>
      <c r="AQ423" s="59" t="str">
        <f>IFERROR(_xlfn.XLOOKUP(Tabla1[[#This Row],[Cedula agente]],Lista!$B$2:$B$97,Lista!$G$2:$G$97)," ")</f>
        <v>Luisa Fernanda Benavides Castrillon</v>
      </c>
      <c r="AR423" s="59" t="s">
        <v>162</v>
      </c>
      <c r="AS423" s="55" t="str">
        <f>IFERROR(_xlfn.XLOOKUP(Tabla1[[#This Row],[Cedula agente]],Lista!$B$2:$B$97,Lista!$F$2:$F$97)," ")</f>
        <v>John Sebastian Roncancio Avendaño</v>
      </c>
      <c r="AT423" s="99">
        <v>0.95</v>
      </c>
      <c r="AU423" s="200">
        <f>+WEEKNUM('Score BD'!$H423)-WEEKNUM(DATE(YEAR('Score BD'!$H423),MONTH('Score BD'!$H423),1))+1</f>
        <v>5</v>
      </c>
    </row>
    <row r="424" spans="1:47" ht="17.45" customHeight="1" x14ac:dyDescent="0.3">
      <c r="A424" s="49" t="str">
        <f t="shared" si="66"/>
        <v>Ministerio de Educación Nacional</v>
      </c>
      <c r="B424" s="50">
        <f>+IFERROR(COUNTIF($J$3:J424,J424)," ")</f>
        <v>19</v>
      </c>
      <c r="C424" s="54" t="str">
        <f>+'Score BD'!$J424&amp;'Score BD'!$B424</f>
        <v>Cesar Rodrigo García19</v>
      </c>
      <c r="D424" s="91" t="s">
        <v>148</v>
      </c>
      <c r="E424" s="92" t="s">
        <v>165</v>
      </c>
      <c r="F424" s="92" t="s">
        <v>212</v>
      </c>
      <c r="G424" s="60" t="str">
        <f t="shared" si="67"/>
        <v>Noviembre</v>
      </c>
      <c r="H424" s="67">
        <v>45989</v>
      </c>
      <c r="I424" s="243">
        <v>45988</v>
      </c>
      <c r="J424" s="57" t="s">
        <v>172</v>
      </c>
      <c r="K424" s="54">
        <f>IFERROR(VLOOKUP('Score BD'!$J424,Lista!A:B,2,0)," ")</f>
        <v>1069257937</v>
      </c>
      <c r="L424" s="61" t="s">
        <v>691</v>
      </c>
      <c r="M424" s="59" t="s">
        <v>4</v>
      </c>
      <c r="N424" s="59" t="s">
        <v>4</v>
      </c>
      <c r="O424" s="59" t="s">
        <v>4</v>
      </c>
      <c r="P424" s="59" t="s">
        <v>4</v>
      </c>
      <c r="Q424" s="96">
        <f t="shared" si="68"/>
        <v>1</v>
      </c>
      <c r="R424" s="59" t="s">
        <v>4</v>
      </c>
      <c r="S424" s="59" t="s">
        <v>4</v>
      </c>
      <c r="T424" s="59" t="s">
        <v>4</v>
      </c>
      <c r="U424" s="59" t="s">
        <v>4</v>
      </c>
      <c r="V424" s="45">
        <f t="shared" si="69"/>
        <v>1</v>
      </c>
      <c r="W424" s="59" t="s">
        <v>4</v>
      </c>
      <c r="X424" s="59" t="s">
        <v>4</v>
      </c>
      <c r="Y424" s="59" t="s">
        <v>4</v>
      </c>
      <c r="Z424" s="59" t="s">
        <v>4</v>
      </c>
      <c r="AA424" s="59" t="s">
        <v>4</v>
      </c>
      <c r="AB424" s="59" t="s">
        <v>4</v>
      </c>
      <c r="AC424" s="45">
        <f t="shared" si="70"/>
        <v>1.000000000000002</v>
      </c>
      <c r="AD424" s="43" t="s">
        <v>4</v>
      </c>
      <c r="AE424" s="43" t="s">
        <v>4</v>
      </c>
      <c r="AF424" s="97">
        <f t="shared" si="71"/>
        <v>1</v>
      </c>
      <c r="AG424" s="44">
        <f t="shared" si="72"/>
        <v>1.0000000000000004</v>
      </c>
      <c r="AH424" s="55">
        <f t="shared" si="73"/>
        <v>0</v>
      </c>
      <c r="AI424" s="55">
        <f>COUNTIF('Score BD'!$M424:$P424,"no")</f>
        <v>0</v>
      </c>
      <c r="AJ424" s="55">
        <f t="shared" si="74"/>
        <v>0</v>
      </c>
      <c r="AK424" s="55">
        <f t="shared" si="75"/>
        <v>0</v>
      </c>
      <c r="AL424" s="55">
        <f t="shared" si="76"/>
        <v>0</v>
      </c>
      <c r="AM424" s="157" t="s">
        <v>717</v>
      </c>
      <c r="AN424" s="55"/>
      <c r="AO424" s="61"/>
      <c r="AP424" s="61"/>
      <c r="AQ424" s="59" t="str">
        <f>IFERROR(_xlfn.XLOOKUP(Tabla1[[#This Row],[Cedula agente]],Lista!$B$2:$B$97,Lista!$G$2:$G$97)," ")</f>
        <v>Luisa Fernanda Benavides Castrillon</v>
      </c>
      <c r="AR424" s="59" t="s">
        <v>162</v>
      </c>
      <c r="AS424" s="55" t="str">
        <f>IFERROR(_xlfn.XLOOKUP(Tabla1[[#This Row],[Cedula agente]],Lista!$B$2:$B$97,Lista!$F$2:$F$97)," ")</f>
        <v>John Sebastian Roncancio Avendaño</v>
      </c>
      <c r="AT424" s="99">
        <v>0.95</v>
      </c>
      <c r="AU424" s="200">
        <f>+WEEKNUM('Score BD'!$H424)-WEEKNUM(DATE(YEAR('Score BD'!$H424),MONTH('Score BD'!$H424),1))+1</f>
        <v>5</v>
      </c>
    </row>
    <row r="425" spans="1:47" ht="17.45" customHeight="1" x14ac:dyDescent="0.3">
      <c r="A425" s="49" t="str">
        <f t="shared" si="66"/>
        <v>Ministerio de Educación Nacional</v>
      </c>
      <c r="B425" s="50">
        <f>+IFERROR(COUNTIF($J$3:J425,J425)," ")</f>
        <v>20</v>
      </c>
      <c r="C425" s="54" t="str">
        <f>+'Score BD'!$J425&amp;'Score BD'!$B425</f>
        <v>Cesar Rodrigo García20</v>
      </c>
      <c r="D425" s="91" t="s">
        <v>148</v>
      </c>
      <c r="E425" s="92" t="s">
        <v>165</v>
      </c>
      <c r="F425" s="92" t="s">
        <v>212</v>
      </c>
      <c r="G425" s="60" t="str">
        <f t="shared" si="67"/>
        <v>Noviembre</v>
      </c>
      <c r="H425" s="67">
        <v>45989</v>
      </c>
      <c r="I425" s="243">
        <v>45988</v>
      </c>
      <c r="J425" s="57" t="s">
        <v>172</v>
      </c>
      <c r="K425" s="54">
        <f>IFERROR(VLOOKUP('Score BD'!$J425,Lista!A:B,2,0)," ")</f>
        <v>1069257937</v>
      </c>
      <c r="L425" s="61" t="s">
        <v>692</v>
      </c>
      <c r="M425" s="59" t="s">
        <v>4</v>
      </c>
      <c r="N425" s="59" t="s">
        <v>4</v>
      </c>
      <c r="O425" s="59" t="s">
        <v>4</v>
      </c>
      <c r="P425" s="59" t="s">
        <v>4</v>
      </c>
      <c r="Q425" s="96">
        <f t="shared" si="68"/>
        <v>1</v>
      </c>
      <c r="R425" s="59" t="s">
        <v>4</v>
      </c>
      <c r="S425" s="59" t="s">
        <v>4</v>
      </c>
      <c r="T425" s="59" t="s">
        <v>4</v>
      </c>
      <c r="U425" s="59" t="s">
        <v>4</v>
      </c>
      <c r="V425" s="45">
        <f t="shared" si="69"/>
        <v>1</v>
      </c>
      <c r="W425" s="59" t="s">
        <v>4</v>
      </c>
      <c r="X425" s="59" t="s">
        <v>4</v>
      </c>
      <c r="Y425" s="59" t="s">
        <v>4</v>
      </c>
      <c r="Z425" s="59" t="s">
        <v>4</v>
      </c>
      <c r="AA425" s="59" t="s">
        <v>4</v>
      </c>
      <c r="AB425" s="59" t="s">
        <v>4</v>
      </c>
      <c r="AC425" s="45">
        <f t="shared" si="70"/>
        <v>1.000000000000002</v>
      </c>
      <c r="AD425" s="43" t="s">
        <v>4</v>
      </c>
      <c r="AE425" s="43" t="s">
        <v>4</v>
      </c>
      <c r="AF425" s="97">
        <f t="shared" si="71"/>
        <v>1</v>
      </c>
      <c r="AG425" s="44">
        <f t="shared" si="72"/>
        <v>1.0000000000000004</v>
      </c>
      <c r="AH425" s="55">
        <f t="shared" si="73"/>
        <v>0</v>
      </c>
      <c r="AI425" s="55">
        <f>COUNTIF('Score BD'!$M425:$P425,"no")</f>
        <v>0</v>
      </c>
      <c r="AJ425" s="55">
        <f t="shared" si="74"/>
        <v>0</v>
      </c>
      <c r="AK425" s="55">
        <f t="shared" si="75"/>
        <v>0</v>
      </c>
      <c r="AL425" s="55">
        <f t="shared" si="76"/>
        <v>0</v>
      </c>
      <c r="AM425" s="157" t="s">
        <v>717</v>
      </c>
      <c r="AN425" s="55"/>
      <c r="AO425" s="61"/>
      <c r="AP425" s="61"/>
      <c r="AQ425" s="59" t="str">
        <f>IFERROR(_xlfn.XLOOKUP(Tabla1[[#This Row],[Cedula agente]],Lista!$B$2:$B$97,Lista!$G$2:$G$97)," ")</f>
        <v>Luisa Fernanda Benavides Castrillon</v>
      </c>
      <c r="AR425" s="59" t="s">
        <v>162</v>
      </c>
      <c r="AS425" s="55" t="str">
        <f>IFERROR(_xlfn.XLOOKUP(Tabla1[[#This Row],[Cedula agente]],Lista!$B$2:$B$97,Lista!$F$2:$F$97)," ")</f>
        <v>John Sebastian Roncancio Avendaño</v>
      </c>
      <c r="AT425" s="99">
        <v>0.95</v>
      </c>
      <c r="AU425" s="200">
        <f>+WEEKNUM('Score BD'!$H425)-WEEKNUM(DATE(YEAR('Score BD'!$H425),MONTH('Score BD'!$H425),1))+1</f>
        <v>5</v>
      </c>
    </row>
    <row r="426" spans="1:47" ht="17.45" customHeight="1" x14ac:dyDescent="0.3">
      <c r="A426" s="49" t="str">
        <f t="shared" si="66"/>
        <v>Ministerio de Educación Nacional</v>
      </c>
      <c r="B426" s="50">
        <f>+IFERROR(COUNTIF($J$3:J426,J426)," ")</f>
        <v>16</v>
      </c>
      <c r="C426" s="54" t="str">
        <f>+'Score BD'!$J426&amp;'Score BD'!$B426</f>
        <v>Cristian Enrique Benitez Rodriguez16</v>
      </c>
      <c r="D426" s="91" t="s">
        <v>148</v>
      </c>
      <c r="E426" s="92" t="s">
        <v>165</v>
      </c>
      <c r="F426" s="92" t="s">
        <v>212</v>
      </c>
      <c r="G426" s="60" t="str">
        <f t="shared" si="67"/>
        <v>Noviembre</v>
      </c>
      <c r="H426" s="67">
        <v>45989</v>
      </c>
      <c r="I426" s="243">
        <v>45988</v>
      </c>
      <c r="J426" s="57" t="s">
        <v>173</v>
      </c>
      <c r="K426" s="54">
        <f>IFERROR(VLOOKUP('Score BD'!$J426,Lista!A:B,2,0)," ")</f>
        <v>1026574814</v>
      </c>
      <c r="L426" s="61" t="s">
        <v>693</v>
      </c>
      <c r="M426" s="59" t="s">
        <v>4</v>
      </c>
      <c r="N426" s="59" t="s">
        <v>4</v>
      </c>
      <c r="O426" s="59" t="s">
        <v>4</v>
      </c>
      <c r="P426" s="59" t="s">
        <v>4</v>
      </c>
      <c r="Q426" s="96">
        <f t="shared" si="68"/>
        <v>1</v>
      </c>
      <c r="R426" s="59" t="s">
        <v>4</v>
      </c>
      <c r="S426" s="59" t="s">
        <v>4</v>
      </c>
      <c r="T426" s="59" t="s">
        <v>4</v>
      </c>
      <c r="U426" s="59" t="s">
        <v>4</v>
      </c>
      <c r="V426" s="45">
        <f t="shared" si="69"/>
        <v>1</v>
      </c>
      <c r="W426" s="59" t="s">
        <v>4</v>
      </c>
      <c r="X426" s="59" t="s">
        <v>4</v>
      </c>
      <c r="Y426" s="59" t="s">
        <v>4</v>
      </c>
      <c r="Z426" s="59" t="s">
        <v>4</v>
      </c>
      <c r="AA426" s="59" t="s">
        <v>4</v>
      </c>
      <c r="AB426" s="59" t="s">
        <v>4</v>
      </c>
      <c r="AC426" s="45">
        <f t="shared" si="70"/>
        <v>1.000000000000002</v>
      </c>
      <c r="AD426" s="43" t="s">
        <v>4</v>
      </c>
      <c r="AE426" s="43" t="s">
        <v>4</v>
      </c>
      <c r="AF426" s="97">
        <f t="shared" si="71"/>
        <v>1</v>
      </c>
      <c r="AG426" s="44">
        <f t="shared" si="72"/>
        <v>1.0000000000000004</v>
      </c>
      <c r="AH426" s="55">
        <f t="shared" si="73"/>
        <v>0</v>
      </c>
      <c r="AI426" s="55">
        <f>COUNTIF('Score BD'!$M426:$P426,"no")</f>
        <v>0</v>
      </c>
      <c r="AJ426" s="55">
        <f t="shared" si="74"/>
        <v>0</v>
      </c>
      <c r="AK426" s="55">
        <f t="shared" si="75"/>
        <v>0</v>
      </c>
      <c r="AL426" s="55">
        <f t="shared" si="76"/>
        <v>0</v>
      </c>
      <c r="AM426" s="157" t="s">
        <v>717</v>
      </c>
      <c r="AN426" s="55"/>
      <c r="AO426" s="61"/>
      <c r="AP426" s="61"/>
      <c r="AQ426" s="59" t="str">
        <f>IFERROR(_xlfn.XLOOKUP(Tabla1[[#This Row],[Cedula agente]],Lista!$B$2:$B$97,Lista!$G$2:$G$97)," ")</f>
        <v>Luisa Fernanda Benavides Castrillon</v>
      </c>
      <c r="AR426" s="59" t="s">
        <v>162</v>
      </c>
      <c r="AS426" s="55" t="str">
        <f>IFERROR(_xlfn.XLOOKUP(Tabla1[[#This Row],[Cedula agente]],Lista!$B$2:$B$97,Lista!$F$2:$F$97)," ")</f>
        <v>John Sebastian Roncancio Avendaño</v>
      </c>
      <c r="AT426" s="99">
        <v>0.95</v>
      </c>
      <c r="AU426" s="200">
        <f>+WEEKNUM('Score BD'!$H426)-WEEKNUM(DATE(YEAR('Score BD'!$H426),MONTH('Score BD'!$H426),1))+1</f>
        <v>5</v>
      </c>
    </row>
    <row r="427" spans="1:47" ht="17.45" customHeight="1" x14ac:dyDescent="0.3">
      <c r="A427" s="49" t="str">
        <f t="shared" si="66"/>
        <v>Ministerio de Educación Nacional</v>
      </c>
      <c r="B427" s="50">
        <f>+IFERROR(COUNTIF($J$3:J427,J427)," ")</f>
        <v>9</v>
      </c>
      <c r="C427" s="54" t="str">
        <f>+'Score BD'!$J427&amp;'Score BD'!$B427</f>
        <v>Daniela Murillo Solano9</v>
      </c>
      <c r="D427" s="91" t="s">
        <v>148</v>
      </c>
      <c r="E427" s="92" t="s">
        <v>211</v>
      </c>
      <c r="F427" s="92" t="s">
        <v>212</v>
      </c>
      <c r="G427" s="60" t="str">
        <f t="shared" si="67"/>
        <v>Noviembre</v>
      </c>
      <c r="H427" s="67">
        <v>45989</v>
      </c>
      <c r="I427" s="243">
        <v>45988</v>
      </c>
      <c r="J427" s="57" t="s">
        <v>203</v>
      </c>
      <c r="K427" s="54">
        <f>IFERROR(VLOOKUP('Score BD'!$J427,Lista!A:B,2,0)," ")</f>
        <v>1234194276</v>
      </c>
      <c r="L427" s="61" t="s">
        <v>694</v>
      </c>
      <c r="M427" s="59" t="s">
        <v>4</v>
      </c>
      <c r="N427" s="59" t="s">
        <v>5</v>
      </c>
      <c r="O427" s="59" t="s">
        <v>4</v>
      </c>
      <c r="P427" s="59" t="s">
        <v>4</v>
      </c>
      <c r="Q427" s="96">
        <f t="shared" si="68"/>
        <v>0.75</v>
      </c>
      <c r="R427" s="59" t="s">
        <v>4</v>
      </c>
      <c r="S427" s="59" t="s">
        <v>4</v>
      </c>
      <c r="T427" s="59" t="s">
        <v>4</v>
      </c>
      <c r="U427" s="59" t="s">
        <v>4</v>
      </c>
      <c r="V427" s="45">
        <f t="shared" si="69"/>
        <v>1</v>
      </c>
      <c r="W427" s="59" t="s">
        <v>4</v>
      </c>
      <c r="X427" s="59" t="s">
        <v>4</v>
      </c>
      <c r="Y427" s="59" t="s">
        <v>4</v>
      </c>
      <c r="Z427" s="59" t="s">
        <v>4</v>
      </c>
      <c r="AA427" s="59" t="s">
        <v>4</v>
      </c>
      <c r="AB427" s="59" t="s">
        <v>4</v>
      </c>
      <c r="AC427" s="45">
        <f t="shared" si="70"/>
        <v>1.000000000000002</v>
      </c>
      <c r="AD427" s="43" t="s">
        <v>4</v>
      </c>
      <c r="AE427" s="43" t="s">
        <v>4</v>
      </c>
      <c r="AF427" s="97">
        <f t="shared" si="71"/>
        <v>1</v>
      </c>
      <c r="AG427" s="44">
        <f t="shared" si="72"/>
        <v>0.93750000000000044</v>
      </c>
      <c r="AH427" s="55">
        <f t="shared" si="73"/>
        <v>0</v>
      </c>
      <c r="AI427" s="55">
        <f>COUNTIF('Score BD'!$M427:$P427,"no")</f>
        <v>1</v>
      </c>
      <c r="AJ427" s="55">
        <f t="shared" si="74"/>
        <v>0</v>
      </c>
      <c r="AK427" s="55">
        <f t="shared" si="75"/>
        <v>0</v>
      </c>
      <c r="AL427" s="55">
        <f t="shared" si="76"/>
        <v>0</v>
      </c>
      <c r="AM427" s="157" t="s">
        <v>723</v>
      </c>
      <c r="AN427" s="55" t="s">
        <v>627</v>
      </c>
      <c r="AO427" s="61" t="s">
        <v>270</v>
      </c>
      <c r="AP427" s="519"/>
      <c r="AQ427" s="59" t="str">
        <f>IFERROR(_xlfn.XLOOKUP(Tabla1[[#This Row],[Cedula agente]],Lista!$B$2:$B$97,Lista!$G$2:$G$97)," ")</f>
        <v>Luisa Fernanda Benavides Castrillon</v>
      </c>
      <c r="AR427" s="59" t="s">
        <v>162</v>
      </c>
      <c r="AS427" s="55" t="str">
        <f>IFERROR(_xlfn.XLOOKUP(Tabla1[[#This Row],[Cedula agente]],Lista!$B$2:$B$97,Lista!$F$2:$F$97)," ")</f>
        <v>John Sebastian Roncancio Avendaño</v>
      </c>
      <c r="AT427" s="99">
        <v>0.95</v>
      </c>
      <c r="AU427" s="200">
        <f>+WEEKNUM('Score BD'!$H427)-WEEKNUM(DATE(YEAR('Score BD'!$H427),MONTH('Score BD'!$H427),1))+1</f>
        <v>5</v>
      </c>
    </row>
    <row r="428" spans="1:47" ht="17.45" customHeight="1" x14ac:dyDescent="0.3">
      <c r="A428" s="49" t="str">
        <f t="shared" si="66"/>
        <v>Ministerio de Educación Nacional</v>
      </c>
      <c r="B428" s="50">
        <f>+IFERROR(COUNTIF($J$3:J428,J428)," ")</f>
        <v>10</v>
      </c>
      <c r="C428" s="54" t="str">
        <f>+'Score BD'!$J428&amp;'Score BD'!$B428</f>
        <v>Daniela Murillo Solano10</v>
      </c>
      <c r="D428" s="91" t="s">
        <v>148</v>
      </c>
      <c r="E428" s="92" t="s">
        <v>211</v>
      </c>
      <c r="F428" s="92" t="s">
        <v>212</v>
      </c>
      <c r="G428" s="60" t="str">
        <f t="shared" si="67"/>
        <v>Noviembre</v>
      </c>
      <c r="H428" s="67">
        <v>45989</v>
      </c>
      <c r="I428" s="243">
        <v>45988</v>
      </c>
      <c r="J428" s="57" t="s">
        <v>203</v>
      </c>
      <c r="K428" s="54">
        <f>IFERROR(VLOOKUP('Score BD'!$J428,Lista!A:B,2,0)," ")</f>
        <v>1234194276</v>
      </c>
      <c r="L428" s="61" t="s">
        <v>695</v>
      </c>
      <c r="M428" s="59" t="s">
        <v>4</v>
      </c>
      <c r="N428" s="59" t="s">
        <v>4</v>
      </c>
      <c r="O428" s="59" t="s">
        <v>4</v>
      </c>
      <c r="P428" s="59" t="s">
        <v>4</v>
      </c>
      <c r="Q428" s="96">
        <f t="shared" si="68"/>
        <v>1</v>
      </c>
      <c r="R428" s="59" t="s">
        <v>4</v>
      </c>
      <c r="S428" s="59" t="s">
        <v>4</v>
      </c>
      <c r="T428" s="59" t="s">
        <v>4</v>
      </c>
      <c r="U428" s="59" t="s">
        <v>4</v>
      </c>
      <c r="V428" s="45">
        <f t="shared" si="69"/>
        <v>1</v>
      </c>
      <c r="W428" s="59" t="s">
        <v>4</v>
      </c>
      <c r="X428" s="59" t="s">
        <v>4</v>
      </c>
      <c r="Y428" s="59" t="s">
        <v>4</v>
      </c>
      <c r="Z428" s="59" t="s">
        <v>4</v>
      </c>
      <c r="AA428" s="59" t="s">
        <v>4</v>
      </c>
      <c r="AB428" s="59" t="s">
        <v>4</v>
      </c>
      <c r="AC428" s="45">
        <f t="shared" si="70"/>
        <v>1.000000000000002</v>
      </c>
      <c r="AD428" s="43" t="s">
        <v>4</v>
      </c>
      <c r="AE428" s="43" t="s">
        <v>4</v>
      </c>
      <c r="AF428" s="97">
        <f t="shared" si="71"/>
        <v>1</v>
      </c>
      <c r="AG428" s="44">
        <f t="shared" si="72"/>
        <v>1.0000000000000004</v>
      </c>
      <c r="AH428" s="55">
        <f t="shared" si="73"/>
        <v>0</v>
      </c>
      <c r="AI428" s="55">
        <f>COUNTIF('Score BD'!$M428:$P428,"no")</f>
        <v>0</v>
      </c>
      <c r="AJ428" s="55">
        <f t="shared" si="74"/>
        <v>0</v>
      </c>
      <c r="AK428" s="55">
        <f t="shared" si="75"/>
        <v>0</v>
      </c>
      <c r="AL428" s="55">
        <f t="shared" si="76"/>
        <v>0</v>
      </c>
      <c r="AM428" s="157" t="s">
        <v>717</v>
      </c>
      <c r="AN428" s="55"/>
      <c r="AO428" s="61"/>
      <c r="AP428" s="61"/>
      <c r="AQ428" s="59" t="str">
        <f>IFERROR(_xlfn.XLOOKUP(Tabla1[[#This Row],[Cedula agente]],Lista!$B$2:$B$97,Lista!$G$2:$G$97)," ")</f>
        <v>Luisa Fernanda Benavides Castrillon</v>
      </c>
      <c r="AR428" s="59" t="s">
        <v>162</v>
      </c>
      <c r="AS428" s="55" t="str">
        <f>IFERROR(_xlfn.XLOOKUP(Tabla1[[#This Row],[Cedula agente]],Lista!$B$2:$B$97,Lista!$F$2:$F$97)," ")</f>
        <v>John Sebastian Roncancio Avendaño</v>
      </c>
      <c r="AT428" s="99">
        <v>0.95</v>
      </c>
      <c r="AU428" s="200">
        <f>+WEEKNUM('Score BD'!$H428)-WEEKNUM(DATE(YEAR('Score BD'!$H428),MONTH('Score BD'!$H428),1))+1</f>
        <v>5</v>
      </c>
    </row>
    <row r="429" spans="1:47" ht="17.45" customHeight="1" x14ac:dyDescent="0.3">
      <c r="A429" s="49" t="str">
        <f t="shared" si="66"/>
        <v>Ministerio de Educación Nacional</v>
      </c>
      <c r="B429" s="50">
        <f>+IFERROR(COUNTIF($J$3:J429,J429)," ")</f>
        <v>16</v>
      </c>
      <c r="C429" s="54" t="str">
        <f>+'Score BD'!$J429&amp;'Score BD'!$B429</f>
        <v>Henry Eduardo Padilla Castilla16</v>
      </c>
      <c r="D429" s="91" t="s">
        <v>148</v>
      </c>
      <c r="E429" s="92" t="s">
        <v>165</v>
      </c>
      <c r="F429" s="92" t="s">
        <v>212</v>
      </c>
      <c r="G429" s="60" t="str">
        <f t="shared" si="67"/>
        <v>Noviembre</v>
      </c>
      <c r="H429" s="67">
        <v>45989</v>
      </c>
      <c r="I429" s="243">
        <v>45988</v>
      </c>
      <c r="J429" s="57" t="s">
        <v>175</v>
      </c>
      <c r="K429" s="54">
        <f>IFERROR(VLOOKUP('Score BD'!$J429,Lista!A:B,2,0)," ")</f>
        <v>1063968280</v>
      </c>
      <c r="L429" s="61" t="s">
        <v>696</v>
      </c>
      <c r="M429" s="59" t="s">
        <v>4</v>
      </c>
      <c r="N429" s="59" t="s">
        <v>4</v>
      </c>
      <c r="O429" s="59" t="s">
        <v>4</v>
      </c>
      <c r="P429" s="59" t="s">
        <v>4</v>
      </c>
      <c r="Q429" s="96">
        <f t="shared" si="68"/>
        <v>1</v>
      </c>
      <c r="R429" s="59" t="s">
        <v>4</v>
      </c>
      <c r="S429" s="59" t="s">
        <v>4</v>
      </c>
      <c r="T429" s="59" t="s">
        <v>4</v>
      </c>
      <c r="U429" s="59" t="s">
        <v>4</v>
      </c>
      <c r="V429" s="45">
        <f t="shared" si="69"/>
        <v>1</v>
      </c>
      <c r="W429" s="59" t="s">
        <v>4</v>
      </c>
      <c r="X429" s="59" t="s">
        <v>4</v>
      </c>
      <c r="Y429" s="59" t="s">
        <v>4</v>
      </c>
      <c r="Z429" s="59" t="s">
        <v>4</v>
      </c>
      <c r="AA429" s="59" t="s">
        <v>4</v>
      </c>
      <c r="AB429" s="59" t="s">
        <v>4</v>
      </c>
      <c r="AC429" s="45">
        <f t="shared" si="70"/>
        <v>1.000000000000002</v>
      </c>
      <c r="AD429" s="43" t="s">
        <v>4</v>
      </c>
      <c r="AE429" s="43" t="s">
        <v>4</v>
      </c>
      <c r="AF429" s="97">
        <f t="shared" si="71"/>
        <v>1</v>
      </c>
      <c r="AG429" s="44">
        <f t="shared" si="72"/>
        <v>1.0000000000000004</v>
      </c>
      <c r="AH429" s="55">
        <f t="shared" si="73"/>
        <v>0</v>
      </c>
      <c r="AI429" s="55">
        <f>COUNTIF('Score BD'!$M429:$P429,"no")</f>
        <v>0</v>
      </c>
      <c r="AJ429" s="55">
        <f t="shared" si="74"/>
        <v>0</v>
      </c>
      <c r="AK429" s="55">
        <f t="shared" si="75"/>
        <v>0</v>
      </c>
      <c r="AL429" s="55">
        <f t="shared" si="76"/>
        <v>0</v>
      </c>
      <c r="AM429" s="157" t="s">
        <v>717</v>
      </c>
      <c r="AN429" s="55"/>
      <c r="AO429" s="61"/>
      <c r="AP429" s="61"/>
      <c r="AQ429" s="59" t="str">
        <f>IFERROR(_xlfn.XLOOKUP(Tabla1[[#This Row],[Cedula agente]],Lista!$B$2:$B$97,Lista!$G$2:$G$97)," ")</f>
        <v>Luisa Fernanda Benavides Castrillon</v>
      </c>
      <c r="AR429" s="59" t="s">
        <v>162</v>
      </c>
      <c r="AS429" s="55" t="str">
        <f>IFERROR(_xlfn.XLOOKUP(Tabla1[[#This Row],[Cedula agente]],Lista!$B$2:$B$97,Lista!$F$2:$F$97)," ")</f>
        <v>John Sebastian Roncancio Avendaño</v>
      </c>
      <c r="AT429" s="99">
        <v>0.95</v>
      </c>
      <c r="AU429" s="200">
        <f>+WEEKNUM('Score BD'!$H429)-WEEKNUM(DATE(YEAR('Score BD'!$H429),MONTH('Score BD'!$H429),1))+1</f>
        <v>5</v>
      </c>
    </row>
    <row r="430" spans="1:47" ht="17.45" customHeight="1" x14ac:dyDescent="0.3">
      <c r="A430" s="49" t="str">
        <f t="shared" si="66"/>
        <v>Ministerio de Educación Nacional</v>
      </c>
      <c r="B430" s="50">
        <f>+IFERROR(COUNTIF($J$3:J430,J430)," ")</f>
        <v>34</v>
      </c>
      <c r="C430" s="54" t="str">
        <f>+'Score BD'!$J430&amp;'Score BD'!$B430</f>
        <v>Ingrid Carolina Monsalve Quintero34</v>
      </c>
      <c r="D430" s="91" t="s">
        <v>148</v>
      </c>
      <c r="E430" s="92" t="s">
        <v>164</v>
      </c>
      <c r="F430" s="92" t="s">
        <v>212</v>
      </c>
      <c r="G430" s="60" t="str">
        <f t="shared" si="67"/>
        <v>Noviembre</v>
      </c>
      <c r="H430" s="67">
        <v>45989</v>
      </c>
      <c r="I430" s="243">
        <v>45988</v>
      </c>
      <c r="J430" s="57" t="s">
        <v>176</v>
      </c>
      <c r="K430" s="54">
        <f>IFERROR(VLOOKUP('Score BD'!$J430,Lista!A:B,2,0)," ")</f>
        <v>52805909</v>
      </c>
      <c r="L430" s="61" t="s">
        <v>697</v>
      </c>
      <c r="M430" s="59" t="s">
        <v>4</v>
      </c>
      <c r="N430" s="59" t="s">
        <v>4</v>
      </c>
      <c r="O430" s="59" t="s">
        <v>4</v>
      </c>
      <c r="P430" s="59" t="s">
        <v>4</v>
      </c>
      <c r="Q430" s="96">
        <f t="shared" si="68"/>
        <v>1</v>
      </c>
      <c r="R430" s="59" t="s">
        <v>4</v>
      </c>
      <c r="S430" s="59" t="s">
        <v>4</v>
      </c>
      <c r="T430" s="59" t="s">
        <v>4</v>
      </c>
      <c r="U430" s="59" t="s">
        <v>4</v>
      </c>
      <c r="V430" s="45">
        <f t="shared" si="69"/>
        <v>1</v>
      </c>
      <c r="W430" s="59" t="s">
        <v>4</v>
      </c>
      <c r="X430" s="59" t="s">
        <v>4</v>
      </c>
      <c r="Y430" s="59" t="s">
        <v>4</v>
      </c>
      <c r="Z430" s="59" t="s">
        <v>4</v>
      </c>
      <c r="AA430" s="59" t="s">
        <v>4</v>
      </c>
      <c r="AB430" s="59" t="s">
        <v>4</v>
      </c>
      <c r="AC430" s="45">
        <f t="shared" si="70"/>
        <v>1.000000000000002</v>
      </c>
      <c r="AD430" s="43" t="s">
        <v>4</v>
      </c>
      <c r="AE430" s="43" t="s">
        <v>4</v>
      </c>
      <c r="AF430" s="97">
        <f t="shared" si="71"/>
        <v>1</v>
      </c>
      <c r="AG430" s="44">
        <f t="shared" si="72"/>
        <v>1.0000000000000004</v>
      </c>
      <c r="AH430" s="55">
        <f t="shared" si="73"/>
        <v>0</v>
      </c>
      <c r="AI430" s="55">
        <f>COUNTIF('Score BD'!$M430:$P430,"no")</f>
        <v>0</v>
      </c>
      <c r="AJ430" s="55">
        <f t="shared" si="74"/>
        <v>0</v>
      </c>
      <c r="AK430" s="55">
        <f t="shared" si="75"/>
        <v>0</v>
      </c>
      <c r="AL430" s="55">
        <f t="shared" si="76"/>
        <v>0</v>
      </c>
      <c r="AM430" s="157" t="s">
        <v>717</v>
      </c>
      <c r="AN430" s="55"/>
      <c r="AO430" s="61"/>
      <c r="AP430" s="61"/>
      <c r="AQ430" s="59" t="str">
        <f>IFERROR(_xlfn.XLOOKUP(Tabla1[[#This Row],[Cedula agente]],Lista!$B$2:$B$97,Lista!$G$2:$G$97)," ")</f>
        <v>Luisa Fernanda Benavides Castrillon</v>
      </c>
      <c r="AR430" s="59" t="s">
        <v>162</v>
      </c>
      <c r="AS430" s="55" t="str">
        <f>IFERROR(_xlfn.XLOOKUP(Tabla1[[#This Row],[Cedula agente]],Lista!$B$2:$B$97,Lista!$F$2:$F$97)," ")</f>
        <v>John Sebastian Roncancio Avendaño</v>
      </c>
      <c r="AT430" s="99">
        <v>0.95</v>
      </c>
      <c r="AU430" s="200">
        <f>+WEEKNUM('Score BD'!$H430)-WEEKNUM(DATE(YEAR('Score BD'!$H430),MONTH('Score BD'!$H430),1))+1</f>
        <v>5</v>
      </c>
    </row>
    <row r="431" spans="1:47" ht="17.45" customHeight="1" x14ac:dyDescent="0.3">
      <c r="A431" s="49" t="str">
        <f t="shared" si="66"/>
        <v>Ministerio de Educación Nacional</v>
      </c>
      <c r="B431" s="50">
        <f>+IFERROR(COUNTIF($J$3:J431,J431)," ")</f>
        <v>35</v>
      </c>
      <c r="C431" s="54" t="str">
        <f>+'Score BD'!$J431&amp;'Score BD'!$B431</f>
        <v>Ingrid Carolina Monsalve Quintero35</v>
      </c>
      <c r="D431" s="91" t="s">
        <v>148</v>
      </c>
      <c r="E431" s="92" t="s">
        <v>164</v>
      </c>
      <c r="F431" s="92" t="s">
        <v>212</v>
      </c>
      <c r="G431" s="60" t="str">
        <f t="shared" si="67"/>
        <v>Noviembre</v>
      </c>
      <c r="H431" s="67">
        <v>45989</v>
      </c>
      <c r="I431" s="243">
        <v>45988</v>
      </c>
      <c r="J431" s="57" t="s">
        <v>176</v>
      </c>
      <c r="K431" s="54">
        <f>IFERROR(VLOOKUP('Score BD'!$J431,Lista!A:B,2,0)," ")</f>
        <v>52805909</v>
      </c>
      <c r="L431" s="61" t="s">
        <v>698</v>
      </c>
      <c r="M431" s="59" t="s">
        <v>4</v>
      </c>
      <c r="N431" s="59" t="s">
        <v>4</v>
      </c>
      <c r="O431" s="59" t="s">
        <v>4</v>
      </c>
      <c r="P431" s="59" t="s">
        <v>4</v>
      </c>
      <c r="Q431" s="96">
        <f t="shared" si="68"/>
        <v>1</v>
      </c>
      <c r="R431" s="59" t="s">
        <v>4</v>
      </c>
      <c r="S431" s="59" t="s">
        <v>4</v>
      </c>
      <c r="T431" s="59" t="s">
        <v>4</v>
      </c>
      <c r="U431" s="59" t="s">
        <v>4</v>
      </c>
      <c r="V431" s="45">
        <f t="shared" si="69"/>
        <v>1</v>
      </c>
      <c r="W431" s="59" t="s">
        <v>4</v>
      </c>
      <c r="X431" s="59" t="s">
        <v>4</v>
      </c>
      <c r="Y431" s="59" t="s">
        <v>4</v>
      </c>
      <c r="Z431" s="59" t="s">
        <v>4</v>
      </c>
      <c r="AA431" s="59" t="s">
        <v>4</v>
      </c>
      <c r="AB431" s="59" t="s">
        <v>4</v>
      </c>
      <c r="AC431" s="45">
        <f t="shared" si="70"/>
        <v>1.000000000000002</v>
      </c>
      <c r="AD431" s="43" t="s">
        <v>4</v>
      </c>
      <c r="AE431" s="43" t="s">
        <v>4</v>
      </c>
      <c r="AF431" s="97">
        <f t="shared" si="71"/>
        <v>1</v>
      </c>
      <c r="AG431" s="44">
        <f t="shared" si="72"/>
        <v>1.0000000000000004</v>
      </c>
      <c r="AH431" s="55">
        <f t="shared" si="73"/>
        <v>0</v>
      </c>
      <c r="AI431" s="55">
        <f>COUNTIF('Score BD'!$M431:$P431,"no")</f>
        <v>0</v>
      </c>
      <c r="AJ431" s="55">
        <f t="shared" si="74"/>
        <v>0</v>
      </c>
      <c r="AK431" s="55">
        <f t="shared" si="75"/>
        <v>0</v>
      </c>
      <c r="AL431" s="55">
        <f t="shared" si="76"/>
        <v>0</v>
      </c>
      <c r="AM431" s="157" t="s">
        <v>717</v>
      </c>
      <c r="AN431" s="55"/>
      <c r="AO431" s="61"/>
      <c r="AP431" s="61"/>
      <c r="AQ431" s="59" t="str">
        <f>IFERROR(_xlfn.XLOOKUP(Tabla1[[#This Row],[Cedula agente]],Lista!$B$2:$B$97,Lista!$G$2:$G$97)," ")</f>
        <v>Luisa Fernanda Benavides Castrillon</v>
      </c>
      <c r="AR431" s="59" t="s">
        <v>162</v>
      </c>
      <c r="AS431" s="55" t="str">
        <f>IFERROR(_xlfn.XLOOKUP(Tabla1[[#This Row],[Cedula agente]],Lista!$B$2:$B$97,Lista!$F$2:$F$97)," ")</f>
        <v>John Sebastian Roncancio Avendaño</v>
      </c>
      <c r="AT431" s="99">
        <v>0.95</v>
      </c>
      <c r="AU431" s="200">
        <f>+WEEKNUM('Score BD'!$H431)-WEEKNUM(DATE(YEAR('Score BD'!$H431),MONTH('Score BD'!$H431),1))+1</f>
        <v>5</v>
      </c>
    </row>
    <row r="432" spans="1:47" ht="17.45" customHeight="1" x14ac:dyDescent="0.3">
      <c r="A432" s="49" t="str">
        <f t="shared" si="66"/>
        <v>Ministerio de Educación Nacional</v>
      </c>
      <c r="B432" s="50">
        <f>+IFERROR(COUNTIF($J$3:J432,J432)," ")</f>
        <v>15</v>
      </c>
      <c r="C432" s="54" t="str">
        <f>+'Score BD'!$J432&amp;'Score BD'!$B432</f>
        <v>Jesus David Hernandez Fernandez de Castro15</v>
      </c>
      <c r="D432" s="91" t="s">
        <v>148</v>
      </c>
      <c r="E432" s="92" t="s">
        <v>208</v>
      </c>
      <c r="F432" s="92" t="s">
        <v>212</v>
      </c>
      <c r="G432" s="60" t="str">
        <f t="shared" si="67"/>
        <v>Noviembre</v>
      </c>
      <c r="H432" s="67">
        <v>45989</v>
      </c>
      <c r="I432" s="243">
        <v>45988</v>
      </c>
      <c r="J432" s="57" t="s">
        <v>177</v>
      </c>
      <c r="K432" s="54">
        <f>IFERROR(VLOOKUP('Score BD'!$J432,Lista!A:B,2,0)," ")</f>
        <v>1083038013</v>
      </c>
      <c r="L432" s="61" t="s">
        <v>699</v>
      </c>
      <c r="M432" s="59" t="s">
        <v>4</v>
      </c>
      <c r="N432" s="59" t="s">
        <v>4</v>
      </c>
      <c r="O432" s="59" t="s">
        <v>4</v>
      </c>
      <c r="P432" s="59" t="s">
        <v>4</v>
      </c>
      <c r="Q432" s="96">
        <f t="shared" si="68"/>
        <v>1</v>
      </c>
      <c r="R432" s="59" t="s">
        <v>4</v>
      </c>
      <c r="S432" s="59" t="s">
        <v>4</v>
      </c>
      <c r="T432" s="59" t="s">
        <v>4</v>
      </c>
      <c r="U432" s="59" t="s">
        <v>4</v>
      </c>
      <c r="V432" s="45">
        <f t="shared" si="69"/>
        <v>1</v>
      </c>
      <c r="W432" s="59" t="s">
        <v>4</v>
      </c>
      <c r="X432" s="59" t="s">
        <v>4</v>
      </c>
      <c r="Y432" s="59" t="s">
        <v>4</v>
      </c>
      <c r="Z432" s="59" t="s">
        <v>4</v>
      </c>
      <c r="AA432" s="59" t="s">
        <v>4</v>
      </c>
      <c r="AB432" s="59" t="s">
        <v>4</v>
      </c>
      <c r="AC432" s="45">
        <f t="shared" si="70"/>
        <v>1.000000000000002</v>
      </c>
      <c r="AD432" s="43" t="s">
        <v>4</v>
      </c>
      <c r="AE432" s="43" t="s">
        <v>4</v>
      </c>
      <c r="AF432" s="97">
        <f t="shared" si="71"/>
        <v>1</v>
      </c>
      <c r="AG432" s="44">
        <f t="shared" si="72"/>
        <v>1.0000000000000004</v>
      </c>
      <c r="AH432" s="55">
        <f t="shared" si="73"/>
        <v>0</v>
      </c>
      <c r="AI432" s="55">
        <f>COUNTIF('Score BD'!$M432:$P432,"no")</f>
        <v>0</v>
      </c>
      <c r="AJ432" s="55">
        <f t="shared" si="74"/>
        <v>0</v>
      </c>
      <c r="AK432" s="55">
        <f t="shared" si="75"/>
        <v>0</v>
      </c>
      <c r="AL432" s="55">
        <f t="shared" si="76"/>
        <v>0</v>
      </c>
      <c r="AM432" s="157" t="s">
        <v>717</v>
      </c>
      <c r="AN432" s="55"/>
      <c r="AO432" s="61"/>
      <c r="AP432" s="61"/>
      <c r="AQ432" s="59" t="str">
        <f>IFERROR(_xlfn.XLOOKUP(Tabla1[[#This Row],[Cedula agente]],Lista!$B$2:$B$97,Lista!$G$2:$G$97)," ")</f>
        <v>Luisa Fernanda Benavides Castrillon</v>
      </c>
      <c r="AR432" s="59" t="s">
        <v>162</v>
      </c>
      <c r="AS432" s="55" t="str">
        <f>IFERROR(_xlfn.XLOOKUP(Tabla1[[#This Row],[Cedula agente]],Lista!$B$2:$B$97,Lista!$F$2:$F$97)," ")</f>
        <v>John Sebastian Roncancio Avendaño</v>
      </c>
      <c r="AT432" s="99">
        <v>0.95</v>
      </c>
      <c r="AU432" s="200">
        <f>+WEEKNUM('Score BD'!$H432)-WEEKNUM(DATE(YEAR('Score BD'!$H432),MONTH('Score BD'!$H432),1))+1</f>
        <v>5</v>
      </c>
    </row>
    <row r="433" spans="1:47" ht="17.45" customHeight="1" x14ac:dyDescent="0.3">
      <c r="A433" s="49" t="str">
        <f t="shared" si="66"/>
        <v>Ministerio de Educación Nacional</v>
      </c>
      <c r="B433" s="50">
        <f>+IFERROR(COUNTIF($J$3:J433,J433)," ")</f>
        <v>25</v>
      </c>
      <c r="C433" s="54" t="str">
        <f>+'Score BD'!$J433&amp;'Score BD'!$B433</f>
        <v>Juan Jose Santoya Medina25</v>
      </c>
      <c r="D433" s="91" t="s">
        <v>148</v>
      </c>
      <c r="E433" s="92" t="s">
        <v>165</v>
      </c>
      <c r="F433" s="92" t="s">
        <v>212</v>
      </c>
      <c r="G433" s="60" t="str">
        <f t="shared" si="67"/>
        <v>Noviembre</v>
      </c>
      <c r="H433" s="67">
        <v>45989</v>
      </c>
      <c r="I433" s="243">
        <v>45988</v>
      </c>
      <c r="J433" s="57" t="s">
        <v>178</v>
      </c>
      <c r="K433" s="54">
        <f>IFERROR(VLOOKUP('Score BD'!$J433,Lista!A:B,2,0)," ")</f>
        <v>1053345183</v>
      </c>
      <c r="L433" s="61" t="s">
        <v>700</v>
      </c>
      <c r="M433" s="59" t="s">
        <v>4</v>
      </c>
      <c r="N433" s="59" t="s">
        <v>4</v>
      </c>
      <c r="O433" s="59" t="s">
        <v>4</v>
      </c>
      <c r="P433" s="59" t="s">
        <v>4</v>
      </c>
      <c r="Q433" s="96">
        <f t="shared" si="68"/>
        <v>1</v>
      </c>
      <c r="R433" s="59" t="s">
        <v>4</v>
      </c>
      <c r="S433" s="59" t="s">
        <v>4</v>
      </c>
      <c r="T433" s="59" t="s">
        <v>4</v>
      </c>
      <c r="U433" s="59" t="s">
        <v>4</v>
      </c>
      <c r="V433" s="45">
        <f t="shared" si="69"/>
        <v>1</v>
      </c>
      <c r="W433" s="59" t="s">
        <v>4</v>
      </c>
      <c r="X433" s="59" t="s">
        <v>4</v>
      </c>
      <c r="Y433" s="59" t="s">
        <v>4</v>
      </c>
      <c r="Z433" s="59" t="s">
        <v>4</v>
      </c>
      <c r="AA433" s="59" t="s">
        <v>4</v>
      </c>
      <c r="AB433" s="59" t="s">
        <v>4</v>
      </c>
      <c r="AC433" s="45">
        <f t="shared" si="70"/>
        <v>1.000000000000002</v>
      </c>
      <c r="AD433" s="43" t="s">
        <v>4</v>
      </c>
      <c r="AE433" s="43" t="s">
        <v>4</v>
      </c>
      <c r="AF433" s="97">
        <f t="shared" si="71"/>
        <v>1</v>
      </c>
      <c r="AG433" s="44">
        <f t="shared" si="72"/>
        <v>1.0000000000000004</v>
      </c>
      <c r="AH433" s="55">
        <f t="shared" si="73"/>
        <v>0</v>
      </c>
      <c r="AI433" s="55">
        <f>COUNTIF('Score BD'!$M433:$P433,"no")</f>
        <v>0</v>
      </c>
      <c r="AJ433" s="55">
        <f t="shared" si="74"/>
        <v>0</v>
      </c>
      <c r="AK433" s="55">
        <f t="shared" si="75"/>
        <v>0</v>
      </c>
      <c r="AL433" s="55">
        <f t="shared" si="76"/>
        <v>0</v>
      </c>
      <c r="AM433" s="157" t="s">
        <v>717</v>
      </c>
      <c r="AN433" s="55"/>
      <c r="AO433" s="61"/>
      <c r="AP433" s="61"/>
      <c r="AQ433" s="59" t="str">
        <f>IFERROR(_xlfn.XLOOKUP(Tabla1[[#This Row],[Cedula agente]],Lista!$B$2:$B$97,Lista!$G$2:$G$97)," ")</f>
        <v>Luisa Fernanda Benavides Castrillon</v>
      </c>
      <c r="AR433" s="59" t="s">
        <v>162</v>
      </c>
      <c r="AS433" s="55" t="str">
        <f>IFERROR(_xlfn.XLOOKUP(Tabla1[[#This Row],[Cedula agente]],Lista!$B$2:$B$97,Lista!$F$2:$F$97)," ")</f>
        <v>John Sebastian Roncancio Avendaño</v>
      </c>
      <c r="AT433" s="99">
        <v>0.95</v>
      </c>
      <c r="AU433" s="200">
        <f>+WEEKNUM('Score BD'!$H433)-WEEKNUM(DATE(YEAR('Score BD'!$H433),MONTH('Score BD'!$H433),1))+1</f>
        <v>5</v>
      </c>
    </row>
    <row r="434" spans="1:47" ht="17.45" customHeight="1" x14ac:dyDescent="0.3">
      <c r="A434" s="49" t="str">
        <f t="shared" si="66"/>
        <v>Ministerio de Educación Nacional</v>
      </c>
      <c r="B434" s="50">
        <f>+IFERROR(COUNTIF($J$3:J434,J434)," ")</f>
        <v>26</v>
      </c>
      <c r="C434" s="54" t="str">
        <f>+'Score BD'!$J434&amp;'Score BD'!$B434</f>
        <v>Juan Jose Santoya Medina26</v>
      </c>
      <c r="D434" s="91" t="s">
        <v>148</v>
      </c>
      <c r="E434" s="92" t="s">
        <v>165</v>
      </c>
      <c r="F434" s="92" t="s">
        <v>212</v>
      </c>
      <c r="G434" s="60" t="str">
        <f t="shared" si="67"/>
        <v>Noviembre</v>
      </c>
      <c r="H434" s="67">
        <v>45989</v>
      </c>
      <c r="I434" s="243">
        <v>45988</v>
      </c>
      <c r="J434" s="57" t="s">
        <v>178</v>
      </c>
      <c r="K434" s="54">
        <f>IFERROR(VLOOKUP('Score BD'!$J434,Lista!A:B,2,0)," ")</f>
        <v>1053345183</v>
      </c>
      <c r="L434" s="61" t="s">
        <v>701</v>
      </c>
      <c r="M434" s="59" t="s">
        <v>4</v>
      </c>
      <c r="N434" s="59" t="s">
        <v>4</v>
      </c>
      <c r="O434" s="59" t="s">
        <v>4</v>
      </c>
      <c r="P434" s="59" t="s">
        <v>4</v>
      </c>
      <c r="Q434" s="96">
        <f t="shared" si="68"/>
        <v>1</v>
      </c>
      <c r="R434" s="59" t="s">
        <v>4</v>
      </c>
      <c r="S434" s="59" t="s">
        <v>4</v>
      </c>
      <c r="T434" s="59" t="s">
        <v>4</v>
      </c>
      <c r="U434" s="59" t="s">
        <v>4</v>
      </c>
      <c r="V434" s="45">
        <f t="shared" si="69"/>
        <v>1</v>
      </c>
      <c r="W434" s="59" t="s">
        <v>4</v>
      </c>
      <c r="X434" s="59" t="s">
        <v>4</v>
      </c>
      <c r="Y434" s="59" t="s">
        <v>4</v>
      </c>
      <c r="Z434" s="59" t="s">
        <v>4</v>
      </c>
      <c r="AA434" s="59" t="s">
        <v>4</v>
      </c>
      <c r="AB434" s="59" t="s">
        <v>4</v>
      </c>
      <c r="AC434" s="45">
        <f t="shared" si="70"/>
        <v>1.000000000000002</v>
      </c>
      <c r="AD434" s="43" t="s">
        <v>4</v>
      </c>
      <c r="AE434" s="43" t="s">
        <v>4</v>
      </c>
      <c r="AF434" s="97">
        <f t="shared" si="71"/>
        <v>1</v>
      </c>
      <c r="AG434" s="44">
        <f t="shared" si="72"/>
        <v>1.0000000000000004</v>
      </c>
      <c r="AH434" s="55">
        <f t="shared" si="73"/>
        <v>0</v>
      </c>
      <c r="AI434" s="55">
        <f>COUNTIF('Score BD'!$M434:$P434,"no")</f>
        <v>0</v>
      </c>
      <c r="AJ434" s="55">
        <f t="shared" si="74"/>
        <v>0</v>
      </c>
      <c r="AK434" s="55">
        <f t="shared" si="75"/>
        <v>0</v>
      </c>
      <c r="AL434" s="55">
        <f t="shared" si="76"/>
        <v>0</v>
      </c>
      <c r="AM434" s="157" t="s">
        <v>717</v>
      </c>
      <c r="AN434" s="55"/>
      <c r="AO434" s="61"/>
      <c r="AP434" s="61"/>
      <c r="AQ434" s="59" t="str">
        <f>IFERROR(_xlfn.XLOOKUP(Tabla1[[#This Row],[Cedula agente]],Lista!$B$2:$B$97,Lista!$G$2:$G$97)," ")</f>
        <v>Luisa Fernanda Benavides Castrillon</v>
      </c>
      <c r="AR434" s="59" t="s">
        <v>162</v>
      </c>
      <c r="AS434" s="55" t="str">
        <f>IFERROR(_xlfn.XLOOKUP(Tabla1[[#This Row],[Cedula agente]],Lista!$B$2:$B$97,Lista!$F$2:$F$97)," ")</f>
        <v>John Sebastian Roncancio Avendaño</v>
      </c>
      <c r="AT434" s="99">
        <v>0.95</v>
      </c>
      <c r="AU434" s="200">
        <f>+WEEKNUM('Score BD'!$H434)-WEEKNUM(DATE(YEAR('Score BD'!$H434),MONTH('Score BD'!$H434),1))+1</f>
        <v>5</v>
      </c>
    </row>
    <row r="435" spans="1:47" ht="17.45" customHeight="1" x14ac:dyDescent="0.3">
      <c r="A435" s="49" t="str">
        <f t="shared" si="66"/>
        <v>Ministerio de Educación Nacional</v>
      </c>
      <c r="B435" s="50">
        <f>+IFERROR(COUNTIF($J$3:J435,J435)," ")</f>
        <v>18</v>
      </c>
      <c r="C435" s="54" t="str">
        <f>+'Score BD'!$J435&amp;'Score BD'!$B435</f>
        <v>Juan Sebastián Suárez Morales18</v>
      </c>
      <c r="D435" s="91" t="s">
        <v>148</v>
      </c>
      <c r="E435" s="92" t="s">
        <v>165</v>
      </c>
      <c r="F435" s="92" t="s">
        <v>212</v>
      </c>
      <c r="G435" s="60" t="str">
        <f t="shared" si="67"/>
        <v>Noviembre</v>
      </c>
      <c r="H435" s="67">
        <v>45989</v>
      </c>
      <c r="I435" s="243">
        <v>45988</v>
      </c>
      <c r="J435" s="57" t="s">
        <v>179</v>
      </c>
      <c r="K435" s="54">
        <f>IFERROR(VLOOKUP('Score BD'!$J435,Lista!A:B,2,0)," ")</f>
        <v>1030541070</v>
      </c>
      <c r="L435" s="61" t="s">
        <v>702</v>
      </c>
      <c r="M435" s="59" t="s">
        <v>4</v>
      </c>
      <c r="N435" s="59" t="s">
        <v>4</v>
      </c>
      <c r="O435" s="59" t="s">
        <v>4</v>
      </c>
      <c r="P435" s="59" t="s">
        <v>4</v>
      </c>
      <c r="Q435" s="96">
        <f t="shared" si="68"/>
        <v>1</v>
      </c>
      <c r="R435" s="59" t="s">
        <v>4</v>
      </c>
      <c r="S435" s="59" t="s">
        <v>4</v>
      </c>
      <c r="T435" s="59" t="s">
        <v>4</v>
      </c>
      <c r="U435" s="59" t="s">
        <v>4</v>
      </c>
      <c r="V435" s="45">
        <f t="shared" si="69"/>
        <v>1</v>
      </c>
      <c r="W435" s="59" t="s">
        <v>4</v>
      </c>
      <c r="X435" s="59" t="s">
        <v>4</v>
      </c>
      <c r="Y435" s="59" t="s">
        <v>4</v>
      </c>
      <c r="Z435" s="59" t="s">
        <v>4</v>
      </c>
      <c r="AA435" s="59" t="s">
        <v>4</v>
      </c>
      <c r="AB435" s="59" t="s">
        <v>4</v>
      </c>
      <c r="AC435" s="45">
        <f t="shared" si="70"/>
        <v>1.000000000000002</v>
      </c>
      <c r="AD435" s="43" t="s">
        <v>4</v>
      </c>
      <c r="AE435" s="43" t="s">
        <v>4</v>
      </c>
      <c r="AF435" s="97">
        <f t="shared" si="71"/>
        <v>1</v>
      </c>
      <c r="AG435" s="44">
        <f t="shared" si="72"/>
        <v>1.0000000000000004</v>
      </c>
      <c r="AH435" s="55">
        <f t="shared" si="73"/>
        <v>0</v>
      </c>
      <c r="AI435" s="55">
        <f>COUNTIF('Score BD'!$M435:$P435,"no")</f>
        <v>0</v>
      </c>
      <c r="AJ435" s="55">
        <f t="shared" si="74"/>
        <v>0</v>
      </c>
      <c r="AK435" s="55">
        <f t="shared" si="75"/>
        <v>0</v>
      </c>
      <c r="AL435" s="55">
        <f t="shared" si="76"/>
        <v>0</v>
      </c>
      <c r="AM435" s="157" t="s">
        <v>717</v>
      </c>
      <c r="AN435" s="55"/>
      <c r="AO435" s="61"/>
      <c r="AP435" s="61"/>
      <c r="AQ435" s="59" t="str">
        <f>IFERROR(_xlfn.XLOOKUP(Tabla1[[#This Row],[Cedula agente]],Lista!$B$2:$B$97,Lista!$G$2:$G$97)," ")</f>
        <v>Luisa Fernanda Benavides Castrillon</v>
      </c>
      <c r="AR435" s="59" t="s">
        <v>162</v>
      </c>
      <c r="AS435" s="55" t="str">
        <f>IFERROR(_xlfn.XLOOKUP(Tabla1[[#This Row],[Cedula agente]],Lista!$B$2:$B$97,Lista!$F$2:$F$97)," ")</f>
        <v>John Sebastian Roncancio Avendaño</v>
      </c>
      <c r="AT435" s="99">
        <v>0.95</v>
      </c>
      <c r="AU435" s="200">
        <f>+WEEKNUM('Score BD'!$H435)-WEEKNUM(DATE(YEAR('Score BD'!$H435),MONTH('Score BD'!$H435),1))+1</f>
        <v>5</v>
      </c>
    </row>
    <row r="436" spans="1:47" ht="17.45" customHeight="1" x14ac:dyDescent="0.3">
      <c r="A436" s="49" t="str">
        <f t="shared" si="66"/>
        <v>Ministerio de Educación Nacional</v>
      </c>
      <c r="B436" s="50">
        <f>+IFERROR(COUNTIF($J$3:J436,J436)," ")</f>
        <v>14</v>
      </c>
      <c r="C436" s="54" t="str">
        <f>+'Score BD'!$J436&amp;'Score BD'!$B436</f>
        <v>Laura Juliana Rueda Durán14</v>
      </c>
      <c r="D436" s="91" t="s">
        <v>148</v>
      </c>
      <c r="E436" s="92" t="s">
        <v>165</v>
      </c>
      <c r="F436" s="92" t="s">
        <v>212</v>
      </c>
      <c r="G436" s="60" t="str">
        <f t="shared" si="67"/>
        <v>Noviembre</v>
      </c>
      <c r="H436" s="67">
        <v>45989</v>
      </c>
      <c r="I436" s="243">
        <v>45988</v>
      </c>
      <c r="J436" s="57" t="s">
        <v>180</v>
      </c>
      <c r="K436" s="54">
        <f>IFERROR(VLOOKUP('Score BD'!$J436,Lista!A:B,2,0)," ")</f>
        <v>1026291591</v>
      </c>
      <c r="L436" s="61" t="s">
        <v>703</v>
      </c>
      <c r="M436" s="59" t="s">
        <v>4</v>
      </c>
      <c r="N436" s="59" t="s">
        <v>4</v>
      </c>
      <c r="O436" s="59" t="s">
        <v>4</v>
      </c>
      <c r="P436" s="59" t="s">
        <v>4</v>
      </c>
      <c r="Q436" s="96">
        <f t="shared" si="68"/>
        <v>1</v>
      </c>
      <c r="R436" s="59" t="s">
        <v>4</v>
      </c>
      <c r="S436" s="59" t="s">
        <v>4</v>
      </c>
      <c r="T436" s="59" t="s">
        <v>4</v>
      </c>
      <c r="U436" s="59" t="s">
        <v>4</v>
      </c>
      <c r="V436" s="45">
        <f t="shared" si="69"/>
        <v>1</v>
      </c>
      <c r="W436" s="59" t="s">
        <v>4</v>
      </c>
      <c r="X436" s="59" t="s">
        <v>4</v>
      </c>
      <c r="Y436" s="59" t="s">
        <v>4</v>
      </c>
      <c r="Z436" s="59" t="s">
        <v>4</v>
      </c>
      <c r="AA436" s="59" t="s">
        <v>4</v>
      </c>
      <c r="AB436" s="59" t="s">
        <v>4</v>
      </c>
      <c r="AC436" s="45">
        <f t="shared" si="70"/>
        <v>1.000000000000002</v>
      </c>
      <c r="AD436" s="43" t="s">
        <v>4</v>
      </c>
      <c r="AE436" s="43" t="s">
        <v>4</v>
      </c>
      <c r="AF436" s="97">
        <f t="shared" si="71"/>
        <v>1</v>
      </c>
      <c r="AG436" s="44">
        <f t="shared" si="72"/>
        <v>1.0000000000000004</v>
      </c>
      <c r="AH436" s="55">
        <f t="shared" si="73"/>
        <v>0</v>
      </c>
      <c r="AI436" s="55">
        <f>COUNTIF('Score BD'!$M436:$P436,"no")</f>
        <v>0</v>
      </c>
      <c r="AJ436" s="55">
        <f t="shared" si="74"/>
        <v>0</v>
      </c>
      <c r="AK436" s="55">
        <f t="shared" si="75"/>
        <v>0</v>
      </c>
      <c r="AL436" s="55">
        <f t="shared" si="76"/>
        <v>0</v>
      </c>
      <c r="AM436" s="157" t="s">
        <v>717</v>
      </c>
      <c r="AN436" s="55"/>
      <c r="AO436" s="61"/>
      <c r="AP436" s="61"/>
      <c r="AQ436" s="59" t="str">
        <f>IFERROR(_xlfn.XLOOKUP(Tabla1[[#This Row],[Cedula agente]],Lista!$B$2:$B$97,Lista!$G$2:$G$97)," ")</f>
        <v>Luisa Fernanda Benavides Castrillon</v>
      </c>
      <c r="AR436" s="59" t="s">
        <v>162</v>
      </c>
      <c r="AS436" s="55" t="str">
        <f>IFERROR(_xlfn.XLOOKUP(Tabla1[[#This Row],[Cedula agente]],Lista!$B$2:$B$97,Lista!$F$2:$F$97)," ")</f>
        <v>John Sebastian Roncancio Avendaño</v>
      </c>
      <c r="AT436" s="99">
        <v>0.95</v>
      </c>
      <c r="AU436" s="200">
        <f>+WEEKNUM('Score BD'!$H436)-WEEKNUM(DATE(YEAR('Score BD'!$H436),MONTH('Score BD'!$H436),1))+1</f>
        <v>5</v>
      </c>
    </row>
    <row r="437" spans="1:47" ht="17.45" customHeight="1" x14ac:dyDescent="0.3">
      <c r="A437" s="49" t="str">
        <f t="shared" si="66"/>
        <v>Ministerio de Educación Nacional</v>
      </c>
      <c r="B437" s="50">
        <f>+IFERROR(COUNTIF($J$3:J437,J437)," ")</f>
        <v>16</v>
      </c>
      <c r="C437" s="54" t="str">
        <f>+'Score BD'!$J437&amp;'Score BD'!$B437</f>
        <v>Laura Ximena Sandoval Galindo16</v>
      </c>
      <c r="D437" s="91" t="s">
        <v>148</v>
      </c>
      <c r="E437" s="92" t="s">
        <v>208</v>
      </c>
      <c r="F437" s="92" t="s">
        <v>212</v>
      </c>
      <c r="G437" s="60" t="str">
        <f t="shared" si="67"/>
        <v>Noviembre</v>
      </c>
      <c r="H437" s="67">
        <v>45989</v>
      </c>
      <c r="I437" s="243">
        <v>45988</v>
      </c>
      <c r="J437" s="57" t="s">
        <v>201</v>
      </c>
      <c r="K437" s="54">
        <f>IFERROR(VLOOKUP('Score BD'!$J437,Lista!A:B,2,0)," ")</f>
        <v>1030678660</v>
      </c>
      <c r="L437" s="61" t="s">
        <v>704</v>
      </c>
      <c r="M437" s="59" t="s">
        <v>4</v>
      </c>
      <c r="N437" s="59" t="s">
        <v>4</v>
      </c>
      <c r="O437" s="59" t="s">
        <v>4</v>
      </c>
      <c r="P437" s="59" t="s">
        <v>4</v>
      </c>
      <c r="Q437" s="96">
        <f t="shared" si="68"/>
        <v>1</v>
      </c>
      <c r="R437" s="59" t="s">
        <v>4</v>
      </c>
      <c r="S437" s="59" t="s">
        <v>4</v>
      </c>
      <c r="T437" s="59" t="s">
        <v>4</v>
      </c>
      <c r="U437" s="59" t="s">
        <v>4</v>
      </c>
      <c r="V437" s="45">
        <f t="shared" si="69"/>
        <v>1</v>
      </c>
      <c r="W437" s="59" t="s">
        <v>4</v>
      </c>
      <c r="X437" s="59" t="s">
        <v>4</v>
      </c>
      <c r="Y437" s="59" t="s">
        <v>4</v>
      </c>
      <c r="Z437" s="59" t="s">
        <v>4</v>
      </c>
      <c r="AA437" s="59" t="s">
        <v>4</v>
      </c>
      <c r="AB437" s="59" t="s">
        <v>4</v>
      </c>
      <c r="AC437" s="45">
        <f t="shared" si="70"/>
        <v>1.000000000000002</v>
      </c>
      <c r="AD437" s="43" t="s">
        <v>4</v>
      </c>
      <c r="AE437" s="43" t="s">
        <v>4</v>
      </c>
      <c r="AF437" s="97">
        <f t="shared" si="71"/>
        <v>1</v>
      </c>
      <c r="AG437" s="44">
        <f t="shared" si="72"/>
        <v>1.0000000000000004</v>
      </c>
      <c r="AH437" s="55">
        <f t="shared" si="73"/>
        <v>0</v>
      </c>
      <c r="AI437" s="55">
        <f>COUNTIF('Score BD'!$M437:$P437,"no")</f>
        <v>0</v>
      </c>
      <c r="AJ437" s="55">
        <f t="shared" si="74"/>
        <v>0</v>
      </c>
      <c r="AK437" s="55">
        <f t="shared" si="75"/>
        <v>0</v>
      </c>
      <c r="AL437" s="55">
        <f t="shared" si="76"/>
        <v>0</v>
      </c>
      <c r="AM437" s="157" t="s">
        <v>717</v>
      </c>
      <c r="AN437" s="55"/>
      <c r="AO437" s="61"/>
      <c r="AP437" s="61"/>
      <c r="AQ437" s="59" t="str">
        <f>IFERROR(_xlfn.XLOOKUP(Tabla1[[#This Row],[Cedula agente]],Lista!$B$2:$B$97,Lista!$G$2:$G$97)," ")</f>
        <v>Luisa Fernanda Benavides Castrillon</v>
      </c>
      <c r="AR437" s="59" t="s">
        <v>162</v>
      </c>
      <c r="AS437" s="55" t="str">
        <f>IFERROR(_xlfn.XLOOKUP(Tabla1[[#This Row],[Cedula agente]],Lista!$B$2:$B$97,Lista!$F$2:$F$97)," ")</f>
        <v>John Sebastian Roncancio Avendaño</v>
      </c>
      <c r="AT437" s="99">
        <v>0.95</v>
      </c>
      <c r="AU437" s="200">
        <f>+WEEKNUM('Score BD'!$H437)-WEEKNUM(DATE(YEAR('Score BD'!$H437),MONTH('Score BD'!$H437),1))+1</f>
        <v>5</v>
      </c>
    </row>
    <row r="438" spans="1:47" ht="17.45" customHeight="1" x14ac:dyDescent="0.3">
      <c r="A438" s="49" t="str">
        <f t="shared" si="66"/>
        <v>Ministerio de Educación Nacional</v>
      </c>
      <c r="B438" s="50">
        <f>+IFERROR(COUNTIF($J$3:J438,J438)," ")</f>
        <v>34</v>
      </c>
      <c r="C438" s="54" t="str">
        <f>+'Score BD'!$J438&amp;'Score BD'!$B438</f>
        <v>Maira Alejandra Rodriguez Losada34</v>
      </c>
      <c r="D438" s="91" t="s">
        <v>148</v>
      </c>
      <c r="E438" s="92" t="s">
        <v>164</v>
      </c>
      <c r="F438" s="92" t="s">
        <v>212</v>
      </c>
      <c r="G438" s="60" t="str">
        <f t="shared" si="67"/>
        <v>Noviembre</v>
      </c>
      <c r="H438" s="67">
        <v>45989</v>
      </c>
      <c r="I438" s="243">
        <v>45988</v>
      </c>
      <c r="J438" s="57" t="s">
        <v>204</v>
      </c>
      <c r="K438" s="54">
        <f>IFERROR(VLOOKUP('Score BD'!$J438,Lista!A:B,2,0)," ")</f>
        <v>1075224344</v>
      </c>
      <c r="L438" s="61" t="s">
        <v>705</v>
      </c>
      <c r="M438" s="59" t="s">
        <v>4</v>
      </c>
      <c r="N438" s="59" t="s">
        <v>4</v>
      </c>
      <c r="O438" s="59" t="s">
        <v>4</v>
      </c>
      <c r="P438" s="59" t="s">
        <v>4</v>
      </c>
      <c r="Q438" s="96">
        <f t="shared" si="68"/>
        <v>1</v>
      </c>
      <c r="R438" s="59" t="s">
        <v>4</v>
      </c>
      <c r="S438" s="59" t="s">
        <v>4</v>
      </c>
      <c r="T438" s="59" t="s">
        <v>4</v>
      </c>
      <c r="U438" s="59" t="s">
        <v>4</v>
      </c>
      <c r="V438" s="45">
        <f t="shared" si="69"/>
        <v>1</v>
      </c>
      <c r="W438" s="59" t="s">
        <v>4</v>
      </c>
      <c r="X438" s="59" t="s">
        <v>4</v>
      </c>
      <c r="Y438" s="59" t="s">
        <v>4</v>
      </c>
      <c r="Z438" s="59" t="s">
        <v>4</v>
      </c>
      <c r="AA438" s="59" t="s">
        <v>4</v>
      </c>
      <c r="AB438" s="59" t="s">
        <v>4</v>
      </c>
      <c r="AC438" s="45">
        <f t="shared" si="70"/>
        <v>1.000000000000002</v>
      </c>
      <c r="AD438" s="43" t="s">
        <v>4</v>
      </c>
      <c r="AE438" s="43" t="s">
        <v>4</v>
      </c>
      <c r="AF438" s="97">
        <f t="shared" si="71"/>
        <v>1</v>
      </c>
      <c r="AG438" s="44">
        <f t="shared" si="72"/>
        <v>1.0000000000000004</v>
      </c>
      <c r="AH438" s="55">
        <f t="shared" si="73"/>
        <v>0</v>
      </c>
      <c r="AI438" s="55">
        <f>COUNTIF('Score BD'!$M438:$P438,"no")</f>
        <v>0</v>
      </c>
      <c r="AJ438" s="55">
        <f t="shared" si="74"/>
        <v>0</v>
      </c>
      <c r="AK438" s="55">
        <f t="shared" si="75"/>
        <v>0</v>
      </c>
      <c r="AL438" s="55">
        <f t="shared" si="76"/>
        <v>0</v>
      </c>
      <c r="AM438" s="157" t="s">
        <v>717</v>
      </c>
      <c r="AN438" s="55"/>
      <c r="AO438" s="61"/>
      <c r="AP438" s="61"/>
      <c r="AQ438" s="59" t="str">
        <f>IFERROR(_xlfn.XLOOKUP(Tabla1[[#This Row],[Cedula agente]],Lista!$B$2:$B$97,Lista!$G$2:$G$97)," ")</f>
        <v>Luisa Fernanda Benavides Castrillon</v>
      </c>
      <c r="AR438" s="59" t="s">
        <v>162</v>
      </c>
      <c r="AS438" s="55" t="str">
        <f>IFERROR(_xlfn.XLOOKUP(Tabla1[[#This Row],[Cedula agente]],Lista!$B$2:$B$97,Lista!$F$2:$F$97)," ")</f>
        <v>John Sebastian Roncancio Avendaño</v>
      </c>
      <c r="AT438" s="99">
        <v>0.95</v>
      </c>
      <c r="AU438" s="200">
        <f>+WEEKNUM('Score BD'!$H438)-WEEKNUM(DATE(YEAR('Score BD'!$H438),MONTH('Score BD'!$H438),1))+1</f>
        <v>5</v>
      </c>
    </row>
    <row r="439" spans="1:47" ht="17.45" customHeight="1" x14ac:dyDescent="0.3">
      <c r="A439" s="49" t="str">
        <f t="shared" si="66"/>
        <v>Ministerio de Educación Nacional</v>
      </c>
      <c r="B439" s="50">
        <f>+IFERROR(COUNTIF($J$3:J439,J439)," ")</f>
        <v>35</v>
      </c>
      <c r="C439" s="54" t="str">
        <f>+'Score BD'!$J439&amp;'Score BD'!$B439</f>
        <v>Maira Alejandra Rodriguez Losada35</v>
      </c>
      <c r="D439" s="91" t="s">
        <v>148</v>
      </c>
      <c r="E439" s="92" t="s">
        <v>164</v>
      </c>
      <c r="F439" s="92" t="s">
        <v>212</v>
      </c>
      <c r="G439" s="60" t="str">
        <f t="shared" si="67"/>
        <v>Noviembre</v>
      </c>
      <c r="H439" s="67">
        <v>45989</v>
      </c>
      <c r="I439" s="243">
        <v>45988</v>
      </c>
      <c r="J439" s="57" t="s">
        <v>204</v>
      </c>
      <c r="K439" s="54">
        <f>IFERROR(VLOOKUP('Score BD'!$J439,Lista!A:B,2,0)," ")</f>
        <v>1075224344</v>
      </c>
      <c r="L439" s="61" t="s">
        <v>706</v>
      </c>
      <c r="M439" s="59" t="s">
        <v>4</v>
      </c>
      <c r="N439" s="59" t="s">
        <v>4</v>
      </c>
      <c r="O439" s="59" t="s">
        <v>4</v>
      </c>
      <c r="P439" s="59" t="s">
        <v>4</v>
      </c>
      <c r="Q439" s="96">
        <f t="shared" si="68"/>
        <v>1</v>
      </c>
      <c r="R439" s="59" t="s">
        <v>4</v>
      </c>
      <c r="S439" s="59" t="s">
        <v>4</v>
      </c>
      <c r="T439" s="59" t="s">
        <v>4</v>
      </c>
      <c r="U439" s="59" t="s">
        <v>4</v>
      </c>
      <c r="V439" s="45">
        <f t="shared" si="69"/>
        <v>1</v>
      </c>
      <c r="W439" s="59" t="s">
        <v>4</v>
      </c>
      <c r="X439" s="59" t="s">
        <v>4</v>
      </c>
      <c r="Y439" s="59" t="s">
        <v>4</v>
      </c>
      <c r="Z439" s="59" t="s">
        <v>4</v>
      </c>
      <c r="AA439" s="59" t="s">
        <v>4</v>
      </c>
      <c r="AB439" s="59" t="s">
        <v>4</v>
      </c>
      <c r="AC439" s="45">
        <f t="shared" si="70"/>
        <v>1.000000000000002</v>
      </c>
      <c r="AD439" s="43" t="s">
        <v>4</v>
      </c>
      <c r="AE439" s="43" t="s">
        <v>4</v>
      </c>
      <c r="AF439" s="97">
        <f t="shared" si="71"/>
        <v>1</v>
      </c>
      <c r="AG439" s="44">
        <f t="shared" si="72"/>
        <v>1.0000000000000004</v>
      </c>
      <c r="AH439" s="55">
        <f t="shared" si="73"/>
        <v>0</v>
      </c>
      <c r="AI439" s="55">
        <f>COUNTIF('Score BD'!$M439:$P439,"no")</f>
        <v>0</v>
      </c>
      <c r="AJ439" s="55">
        <f t="shared" si="74"/>
        <v>0</v>
      </c>
      <c r="AK439" s="55">
        <f t="shared" si="75"/>
        <v>0</v>
      </c>
      <c r="AL439" s="55">
        <f t="shared" si="76"/>
        <v>0</v>
      </c>
      <c r="AM439" s="157" t="s">
        <v>717</v>
      </c>
      <c r="AN439" s="55"/>
      <c r="AO439" s="61"/>
      <c r="AP439" s="61"/>
      <c r="AQ439" s="59" t="str">
        <f>IFERROR(_xlfn.XLOOKUP(Tabla1[[#This Row],[Cedula agente]],Lista!$B$2:$B$97,Lista!$G$2:$G$97)," ")</f>
        <v>Luisa Fernanda Benavides Castrillon</v>
      </c>
      <c r="AR439" s="59" t="s">
        <v>162</v>
      </c>
      <c r="AS439" s="55" t="str">
        <f>IFERROR(_xlfn.XLOOKUP(Tabla1[[#This Row],[Cedula agente]],Lista!$B$2:$B$97,Lista!$F$2:$F$97)," ")</f>
        <v>John Sebastian Roncancio Avendaño</v>
      </c>
      <c r="AT439" s="99">
        <v>0.95</v>
      </c>
      <c r="AU439" s="200">
        <f>+WEEKNUM('Score BD'!$H439)-WEEKNUM(DATE(YEAR('Score BD'!$H439),MONTH('Score BD'!$H439),1))+1</f>
        <v>5</v>
      </c>
    </row>
    <row r="440" spans="1:47" ht="17.45" customHeight="1" x14ac:dyDescent="0.3">
      <c r="A440" s="49" t="str">
        <f t="shared" si="66"/>
        <v>Ministerio de Educación Nacional</v>
      </c>
      <c r="B440" s="50">
        <f>+IFERROR(COUNTIF($J$3:J440,J440)," ")</f>
        <v>33</v>
      </c>
      <c r="C440" s="54" t="str">
        <f>+'Score BD'!$J440&amp;'Score BD'!$B440</f>
        <v>María José Uribe Medina33</v>
      </c>
      <c r="D440" s="91" t="s">
        <v>148</v>
      </c>
      <c r="E440" s="92" t="s">
        <v>164</v>
      </c>
      <c r="F440" s="92" t="s">
        <v>212</v>
      </c>
      <c r="G440" s="60" t="str">
        <f t="shared" si="67"/>
        <v>Noviembre</v>
      </c>
      <c r="H440" s="67">
        <v>45989</v>
      </c>
      <c r="I440" s="243">
        <v>45988</v>
      </c>
      <c r="J440" s="57" t="s">
        <v>205</v>
      </c>
      <c r="K440" s="54">
        <f>IFERROR(VLOOKUP('Score BD'!$J440,Lista!A:B,2,0)," ")</f>
        <v>1121919150</v>
      </c>
      <c r="L440" s="61" t="s">
        <v>707</v>
      </c>
      <c r="M440" s="59" t="s">
        <v>4</v>
      </c>
      <c r="N440" s="59" t="s">
        <v>4</v>
      </c>
      <c r="O440" s="59" t="s">
        <v>4</v>
      </c>
      <c r="P440" s="59" t="s">
        <v>4</v>
      </c>
      <c r="Q440" s="96">
        <f t="shared" si="68"/>
        <v>1</v>
      </c>
      <c r="R440" s="59" t="s">
        <v>4</v>
      </c>
      <c r="S440" s="59" t="s">
        <v>4</v>
      </c>
      <c r="T440" s="59" t="s">
        <v>4</v>
      </c>
      <c r="U440" s="59" t="s">
        <v>4</v>
      </c>
      <c r="V440" s="45">
        <f t="shared" si="69"/>
        <v>1</v>
      </c>
      <c r="W440" s="59" t="s">
        <v>4</v>
      </c>
      <c r="X440" s="59" t="s">
        <v>4</v>
      </c>
      <c r="Y440" s="59" t="s">
        <v>4</v>
      </c>
      <c r="Z440" s="59" t="s">
        <v>4</v>
      </c>
      <c r="AA440" s="59" t="s">
        <v>4</v>
      </c>
      <c r="AB440" s="59" t="s">
        <v>4</v>
      </c>
      <c r="AC440" s="45">
        <f t="shared" si="70"/>
        <v>1.000000000000002</v>
      </c>
      <c r="AD440" s="43" t="s">
        <v>4</v>
      </c>
      <c r="AE440" s="43" t="s">
        <v>4</v>
      </c>
      <c r="AF440" s="97">
        <f t="shared" si="71"/>
        <v>1</v>
      </c>
      <c r="AG440" s="44">
        <f t="shared" si="72"/>
        <v>1.0000000000000004</v>
      </c>
      <c r="AH440" s="55">
        <f t="shared" si="73"/>
        <v>0</v>
      </c>
      <c r="AI440" s="55">
        <f>COUNTIF('Score BD'!$M440:$P440,"no")</f>
        <v>0</v>
      </c>
      <c r="AJ440" s="55">
        <f t="shared" si="74"/>
        <v>0</v>
      </c>
      <c r="AK440" s="55">
        <f t="shared" si="75"/>
        <v>0</v>
      </c>
      <c r="AL440" s="55">
        <f t="shared" si="76"/>
        <v>0</v>
      </c>
      <c r="AM440" s="157" t="s">
        <v>717</v>
      </c>
      <c r="AN440" s="55"/>
      <c r="AO440" s="61"/>
      <c r="AP440" s="61"/>
      <c r="AQ440" s="59" t="str">
        <f>IFERROR(_xlfn.XLOOKUP(Tabla1[[#This Row],[Cedula agente]],Lista!$B$2:$B$97,Lista!$G$2:$G$97)," ")</f>
        <v>Luisa Fernanda Benavides Castrillon</v>
      </c>
      <c r="AR440" s="59" t="s">
        <v>162</v>
      </c>
      <c r="AS440" s="55" t="str">
        <f>IFERROR(_xlfn.XLOOKUP(Tabla1[[#This Row],[Cedula agente]],Lista!$B$2:$B$97,Lista!$F$2:$F$97)," ")</f>
        <v>John Sebastian Roncancio Avendaño</v>
      </c>
      <c r="AT440" s="99">
        <v>0.95</v>
      </c>
      <c r="AU440" s="200">
        <f>+WEEKNUM('Score BD'!$H440)-WEEKNUM(DATE(YEAR('Score BD'!$H440),MONTH('Score BD'!$H440),1))+1</f>
        <v>5</v>
      </c>
    </row>
    <row r="441" spans="1:47" ht="17.45" customHeight="1" x14ac:dyDescent="0.3">
      <c r="A441" s="49" t="str">
        <f t="shared" si="66"/>
        <v>Ministerio de Educación Nacional</v>
      </c>
      <c r="B441" s="50">
        <f>+IFERROR(COUNTIF($J$3:J441,J441)," ")</f>
        <v>34</v>
      </c>
      <c r="C441" s="54" t="str">
        <f>+'Score BD'!$J441&amp;'Score BD'!$B441</f>
        <v>María José Uribe Medina34</v>
      </c>
      <c r="D441" s="91" t="s">
        <v>148</v>
      </c>
      <c r="E441" s="92" t="s">
        <v>164</v>
      </c>
      <c r="F441" s="92" t="s">
        <v>212</v>
      </c>
      <c r="G441" s="60" t="str">
        <f t="shared" si="67"/>
        <v>Noviembre</v>
      </c>
      <c r="H441" s="67">
        <v>45989</v>
      </c>
      <c r="I441" s="243">
        <v>45988</v>
      </c>
      <c r="J441" s="57" t="s">
        <v>205</v>
      </c>
      <c r="K441" s="54">
        <f>IFERROR(VLOOKUP('Score BD'!$J441,Lista!A:B,2,0)," ")</f>
        <v>1121919150</v>
      </c>
      <c r="L441" s="61" t="s">
        <v>708</v>
      </c>
      <c r="M441" s="59" t="s">
        <v>4</v>
      </c>
      <c r="N441" s="59" t="s">
        <v>4</v>
      </c>
      <c r="O441" s="59" t="s">
        <v>4</v>
      </c>
      <c r="P441" s="59" t="s">
        <v>4</v>
      </c>
      <c r="Q441" s="96">
        <f t="shared" si="68"/>
        <v>1</v>
      </c>
      <c r="R441" s="59" t="s">
        <v>4</v>
      </c>
      <c r="S441" s="59" t="s">
        <v>4</v>
      </c>
      <c r="T441" s="59" t="s">
        <v>4</v>
      </c>
      <c r="U441" s="59" t="s">
        <v>4</v>
      </c>
      <c r="V441" s="45">
        <f t="shared" si="69"/>
        <v>1</v>
      </c>
      <c r="W441" s="59" t="s">
        <v>4</v>
      </c>
      <c r="X441" s="59" t="s">
        <v>4</v>
      </c>
      <c r="Y441" s="59" t="s">
        <v>4</v>
      </c>
      <c r="Z441" s="59" t="s">
        <v>4</v>
      </c>
      <c r="AA441" s="59" t="s">
        <v>4</v>
      </c>
      <c r="AB441" s="59" t="s">
        <v>4</v>
      </c>
      <c r="AC441" s="45">
        <f t="shared" si="70"/>
        <v>1.000000000000002</v>
      </c>
      <c r="AD441" s="43" t="s">
        <v>4</v>
      </c>
      <c r="AE441" s="43" t="s">
        <v>4</v>
      </c>
      <c r="AF441" s="97">
        <f t="shared" si="71"/>
        <v>1</v>
      </c>
      <c r="AG441" s="44">
        <f t="shared" si="72"/>
        <v>1.0000000000000004</v>
      </c>
      <c r="AH441" s="55">
        <f t="shared" si="73"/>
        <v>0</v>
      </c>
      <c r="AI441" s="55">
        <f>COUNTIF('Score BD'!$M441:$P441,"no")</f>
        <v>0</v>
      </c>
      <c r="AJ441" s="55">
        <f t="shared" si="74"/>
        <v>0</v>
      </c>
      <c r="AK441" s="55">
        <f t="shared" si="75"/>
        <v>0</v>
      </c>
      <c r="AL441" s="55">
        <f t="shared" si="76"/>
        <v>0</v>
      </c>
      <c r="AM441" s="157" t="s">
        <v>717</v>
      </c>
      <c r="AN441" s="55"/>
      <c r="AO441" s="61"/>
      <c r="AP441" s="61"/>
      <c r="AQ441" s="59" t="str">
        <f>IFERROR(_xlfn.XLOOKUP(Tabla1[[#This Row],[Cedula agente]],Lista!$B$2:$B$97,Lista!$G$2:$G$97)," ")</f>
        <v>Luisa Fernanda Benavides Castrillon</v>
      </c>
      <c r="AR441" s="59" t="s">
        <v>162</v>
      </c>
      <c r="AS441" s="55" t="str">
        <f>IFERROR(_xlfn.XLOOKUP(Tabla1[[#This Row],[Cedula agente]],Lista!$B$2:$B$97,Lista!$F$2:$F$97)," ")</f>
        <v>John Sebastian Roncancio Avendaño</v>
      </c>
      <c r="AT441" s="99">
        <v>0.95</v>
      </c>
      <c r="AU441" s="200">
        <f>+WEEKNUM('Score BD'!$H441)-WEEKNUM(DATE(YEAR('Score BD'!$H441),MONTH('Score BD'!$H441),1))+1</f>
        <v>5</v>
      </c>
    </row>
    <row r="442" spans="1:47" ht="17.45" customHeight="1" x14ac:dyDescent="0.3">
      <c r="A442" s="49" t="str">
        <f t="shared" si="66"/>
        <v>Ministerio de Educación Nacional</v>
      </c>
      <c r="B442" s="50">
        <f>+IFERROR(COUNTIF($J$3:J442,J442)," ")</f>
        <v>32</v>
      </c>
      <c r="C442" s="54" t="str">
        <f>+'Score BD'!$J442&amp;'Score BD'!$B442</f>
        <v>Natalia Cañón Betancourt32</v>
      </c>
      <c r="D442" s="91" t="s">
        <v>148</v>
      </c>
      <c r="E442" s="92" t="s">
        <v>164</v>
      </c>
      <c r="F442" s="92" t="s">
        <v>212</v>
      </c>
      <c r="G442" s="60" t="str">
        <f t="shared" si="67"/>
        <v>Noviembre</v>
      </c>
      <c r="H442" s="67">
        <v>45989</v>
      </c>
      <c r="I442" s="243">
        <v>45988</v>
      </c>
      <c r="J442" s="57" t="s">
        <v>181</v>
      </c>
      <c r="K442" s="54">
        <f>IFERROR(VLOOKUP('Score BD'!$J442,Lista!A:B,2,0)," ")</f>
        <v>1000383417</v>
      </c>
      <c r="L442" s="61" t="s">
        <v>709</v>
      </c>
      <c r="M442" s="59" t="s">
        <v>4</v>
      </c>
      <c r="N442" s="59" t="s">
        <v>4</v>
      </c>
      <c r="O442" s="59" t="s">
        <v>4</v>
      </c>
      <c r="P442" s="59" t="s">
        <v>4</v>
      </c>
      <c r="Q442" s="96">
        <f t="shared" si="68"/>
        <v>1</v>
      </c>
      <c r="R442" s="59" t="s">
        <v>4</v>
      </c>
      <c r="S442" s="59" t="s">
        <v>4</v>
      </c>
      <c r="T442" s="59" t="s">
        <v>4</v>
      </c>
      <c r="U442" s="59" t="s">
        <v>4</v>
      </c>
      <c r="V442" s="45">
        <f t="shared" si="69"/>
        <v>1</v>
      </c>
      <c r="W442" s="59" t="s">
        <v>4</v>
      </c>
      <c r="X442" s="59" t="s">
        <v>4</v>
      </c>
      <c r="Y442" s="59" t="s">
        <v>4</v>
      </c>
      <c r="Z442" s="59" t="s">
        <v>4</v>
      </c>
      <c r="AA442" s="59" t="s">
        <v>4</v>
      </c>
      <c r="AB442" s="59" t="s">
        <v>4</v>
      </c>
      <c r="AC442" s="45">
        <f t="shared" si="70"/>
        <v>1.000000000000002</v>
      </c>
      <c r="AD442" s="43" t="s">
        <v>4</v>
      </c>
      <c r="AE442" s="43" t="s">
        <v>4</v>
      </c>
      <c r="AF442" s="97">
        <f t="shared" si="71"/>
        <v>1</v>
      </c>
      <c r="AG442" s="44">
        <f t="shared" si="72"/>
        <v>1.0000000000000004</v>
      </c>
      <c r="AH442" s="55">
        <f t="shared" si="73"/>
        <v>0</v>
      </c>
      <c r="AI442" s="55">
        <f>COUNTIF('Score BD'!$M442:$P442,"no")</f>
        <v>0</v>
      </c>
      <c r="AJ442" s="55">
        <f t="shared" si="74"/>
        <v>0</v>
      </c>
      <c r="AK442" s="55">
        <f t="shared" si="75"/>
        <v>0</v>
      </c>
      <c r="AL442" s="55">
        <f t="shared" si="76"/>
        <v>0</v>
      </c>
      <c r="AM442" s="157" t="s">
        <v>717</v>
      </c>
      <c r="AN442" s="55"/>
      <c r="AO442" s="61"/>
      <c r="AP442" s="61"/>
      <c r="AQ442" s="59" t="str">
        <f>IFERROR(_xlfn.XLOOKUP(Tabla1[[#This Row],[Cedula agente]],Lista!$B$2:$B$97,Lista!$G$2:$G$97)," ")</f>
        <v>Luisa Fernanda Benavides Castrillon</v>
      </c>
      <c r="AR442" s="59" t="s">
        <v>162</v>
      </c>
      <c r="AS442" s="55" t="str">
        <f>IFERROR(_xlfn.XLOOKUP(Tabla1[[#This Row],[Cedula agente]],Lista!$B$2:$B$97,Lista!$F$2:$F$97)," ")</f>
        <v>John Sebastian Roncancio Avendaño</v>
      </c>
      <c r="AT442" s="99">
        <v>0.95</v>
      </c>
      <c r="AU442" s="200">
        <f>+WEEKNUM('Score BD'!$H442)-WEEKNUM(DATE(YEAR('Score BD'!$H442),MONTH('Score BD'!$H442),1))+1</f>
        <v>5</v>
      </c>
    </row>
    <row r="443" spans="1:47" ht="17.45" customHeight="1" x14ac:dyDescent="0.3">
      <c r="A443" s="49" t="str">
        <f t="shared" si="66"/>
        <v>Ministerio de Educación Nacional</v>
      </c>
      <c r="B443" s="50">
        <f>+IFERROR(COUNTIF($J$3:J443,J443)," ")</f>
        <v>33</v>
      </c>
      <c r="C443" s="54" t="str">
        <f>+'Score BD'!$J443&amp;'Score BD'!$B443</f>
        <v>Natalia Cañón Betancourt33</v>
      </c>
      <c r="D443" s="91" t="s">
        <v>148</v>
      </c>
      <c r="E443" s="92" t="s">
        <v>164</v>
      </c>
      <c r="F443" s="92" t="s">
        <v>212</v>
      </c>
      <c r="G443" s="60" t="str">
        <f t="shared" si="67"/>
        <v>Noviembre</v>
      </c>
      <c r="H443" s="67">
        <v>45989</v>
      </c>
      <c r="I443" s="243">
        <v>45988</v>
      </c>
      <c r="J443" s="57" t="s">
        <v>181</v>
      </c>
      <c r="K443" s="54">
        <f>IFERROR(VLOOKUP('Score BD'!$J443,Lista!A:B,2,0)," ")</f>
        <v>1000383417</v>
      </c>
      <c r="L443" s="61" t="s">
        <v>710</v>
      </c>
      <c r="M443" s="59" t="s">
        <v>4</v>
      </c>
      <c r="N443" s="59" t="s">
        <v>4</v>
      </c>
      <c r="O443" s="59" t="s">
        <v>4</v>
      </c>
      <c r="P443" s="59" t="s">
        <v>4</v>
      </c>
      <c r="Q443" s="96">
        <f t="shared" si="68"/>
        <v>1</v>
      </c>
      <c r="R443" s="59" t="s">
        <v>4</v>
      </c>
      <c r="S443" s="59" t="s">
        <v>4</v>
      </c>
      <c r="T443" s="59" t="s">
        <v>4</v>
      </c>
      <c r="U443" s="59" t="s">
        <v>4</v>
      </c>
      <c r="V443" s="45">
        <f t="shared" si="69"/>
        <v>1</v>
      </c>
      <c r="W443" s="59" t="s">
        <v>4</v>
      </c>
      <c r="X443" s="59" t="s">
        <v>4</v>
      </c>
      <c r="Y443" s="59" t="s">
        <v>4</v>
      </c>
      <c r="Z443" s="59" t="s">
        <v>4</v>
      </c>
      <c r="AA443" s="59" t="s">
        <v>4</v>
      </c>
      <c r="AB443" s="59" t="s">
        <v>4</v>
      </c>
      <c r="AC443" s="45">
        <f t="shared" si="70"/>
        <v>1.000000000000002</v>
      </c>
      <c r="AD443" s="43" t="s">
        <v>4</v>
      </c>
      <c r="AE443" s="43" t="s">
        <v>4</v>
      </c>
      <c r="AF443" s="97">
        <f t="shared" si="71"/>
        <v>1</v>
      </c>
      <c r="AG443" s="44">
        <f t="shared" si="72"/>
        <v>1.0000000000000004</v>
      </c>
      <c r="AH443" s="55">
        <f t="shared" si="73"/>
        <v>0</v>
      </c>
      <c r="AI443" s="55">
        <f>COUNTIF('Score BD'!$M443:$P443,"no")</f>
        <v>0</v>
      </c>
      <c r="AJ443" s="55">
        <f t="shared" si="74"/>
        <v>0</v>
      </c>
      <c r="AK443" s="55">
        <f t="shared" si="75"/>
        <v>0</v>
      </c>
      <c r="AL443" s="55">
        <f t="shared" si="76"/>
        <v>0</v>
      </c>
      <c r="AM443" s="157" t="s">
        <v>717</v>
      </c>
      <c r="AN443" s="55"/>
      <c r="AO443" s="61"/>
      <c r="AP443" s="61"/>
      <c r="AQ443" s="59" t="str">
        <f>IFERROR(_xlfn.XLOOKUP(Tabla1[[#This Row],[Cedula agente]],Lista!$B$2:$B$97,Lista!$G$2:$G$97)," ")</f>
        <v>Luisa Fernanda Benavides Castrillon</v>
      </c>
      <c r="AR443" s="59" t="s">
        <v>162</v>
      </c>
      <c r="AS443" s="55" t="str">
        <f>IFERROR(_xlfn.XLOOKUP(Tabla1[[#This Row],[Cedula agente]],Lista!$B$2:$B$97,Lista!$F$2:$F$97)," ")</f>
        <v>John Sebastian Roncancio Avendaño</v>
      </c>
      <c r="AT443" s="99">
        <v>0.95</v>
      </c>
      <c r="AU443" s="200">
        <f>+WEEKNUM('Score BD'!$H443)-WEEKNUM(DATE(YEAR('Score BD'!$H443),MONTH('Score BD'!$H443),1))+1</f>
        <v>5</v>
      </c>
    </row>
    <row r="444" spans="1:47" ht="17.45" customHeight="1" x14ac:dyDescent="0.3">
      <c r="A444" s="49" t="str">
        <f t="shared" si="66"/>
        <v>Ministerio de Educación Nacional</v>
      </c>
      <c r="B444" s="50">
        <f>+IFERROR(COUNTIF($J$3:J444,J444)," ")</f>
        <v>14</v>
      </c>
      <c r="C444" s="54" t="str">
        <f>+'Score BD'!$J444&amp;'Score BD'!$B444</f>
        <v>Quira Alejandra Herrera Camelo14</v>
      </c>
      <c r="D444" s="91" t="s">
        <v>148</v>
      </c>
      <c r="E444" s="92" t="s">
        <v>208</v>
      </c>
      <c r="F444" s="92" t="s">
        <v>212</v>
      </c>
      <c r="G444" s="60" t="str">
        <f t="shared" si="67"/>
        <v>Noviembre</v>
      </c>
      <c r="H444" s="67">
        <v>45989</v>
      </c>
      <c r="I444" s="243">
        <v>45988</v>
      </c>
      <c r="J444" s="57" t="s">
        <v>182</v>
      </c>
      <c r="K444" s="54">
        <f>IFERROR(VLOOKUP('Score BD'!$J444,Lista!A:B,2,0)," ")</f>
        <v>1010214168</v>
      </c>
      <c r="L444" s="61" t="s">
        <v>711</v>
      </c>
      <c r="M444" s="59" t="s">
        <v>4</v>
      </c>
      <c r="N444" s="59" t="s">
        <v>4</v>
      </c>
      <c r="O444" s="59" t="s">
        <v>4</v>
      </c>
      <c r="P444" s="59" t="s">
        <v>4</v>
      </c>
      <c r="Q444" s="96">
        <f t="shared" si="68"/>
        <v>1</v>
      </c>
      <c r="R444" s="59" t="s">
        <v>4</v>
      </c>
      <c r="S444" s="59" t="s">
        <v>4</v>
      </c>
      <c r="T444" s="59" t="s">
        <v>4</v>
      </c>
      <c r="U444" s="59" t="s">
        <v>4</v>
      </c>
      <c r="V444" s="45">
        <f t="shared" si="69"/>
        <v>1</v>
      </c>
      <c r="W444" s="59" t="s">
        <v>4</v>
      </c>
      <c r="X444" s="59" t="s">
        <v>4</v>
      </c>
      <c r="Y444" s="59" t="s">
        <v>4</v>
      </c>
      <c r="Z444" s="59" t="s">
        <v>4</v>
      </c>
      <c r="AA444" s="59" t="s">
        <v>4</v>
      </c>
      <c r="AB444" s="59" t="s">
        <v>4</v>
      </c>
      <c r="AC444" s="45">
        <f t="shared" si="70"/>
        <v>1.000000000000002</v>
      </c>
      <c r="AD444" s="43" t="s">
        <v>4</v>
      </c>
      <c r="AE444" s="43" t="s">
        <v>4</v>
      </c>
      <c r="AF444" s="97">
        <f t="shared" si="71"/>
        <v>1</v>
      </c>
      <c r="AG444" s="44">
        <f t="shared" si="72"/>
        <v>1.0000000000000004</v>
      </c>
      <c r="AH444" s="55">
        <f t="shared" si="73"/>
        <v>0</v>
      </c>
      <c r="AI444" s="55">
        <f>COUNTIF('Score BD'!$M444:$P444,"no")</f>
        <v>0</v>
      </c>
      <c r="AJ444" s="55">
        <f t="shared" si="74"/>
        <v>0</v>
      </c>
      <c r="AK444" s="55">
        <f t="shared" si="75"/>
        <v>0</v>
      </c>
      <c r="AL444" s="55">
        <f t="shared" si="76"/>
        <v>0</v>
      </c>
      <c r="AM444" s="157" t="s">
        <v>717</v>
      </c>
      <c r="AN444" s="55"/>
      <c r="AO444" s="61"/>
      <c r="AP444" s="61"/>
      <c r="AQ444" s="59" t="str">
        <f>IFERROR(_xlfn.XLOOKUP(Tabla1[[#This Row],[Cedula agente]],Lista!$B$2:$B$97,Lista!$G$2:$G$97)," ")</f>
        <v>Luisa Fernanda Benavides Castrillon</v>
      </c>
      <c r="AR444" s="59" t="s">
        <v>162</v>
      </c>
      <c r="AS444" s="55" t="str">
        <f>IFERROR(_xlfn.XLOOKUP(Tabla1[[#This Row],[Cedula agente]],Lista!$B$2:$B$97,Lista!$F$2:$F$97)," ")</f>
        <v>John Sebastian Roncancio Avendaño</v>
      </c>
      <c r="AT444" s="99">
        <v>0.95</v>
      </c>
      <c r="AU444" s="200">
        <f>+WEEKNUM('Score BD'!$H444)-WEEKNUM(DATE(YEAR('Score BD'!$H444),MONTH('Score BD'!$H444),1))+1</f>
        <v>5</v>
      </c>
    </row>
    <row r="445" spans="1:47" ht="17.45" customHeight="1" x14ac:dyDescent="0.3">
      <c r="A445" s="49" t="str">
        <f t="shared" si="66"/>
        <v>Ministerio de Educación Nacional</v>
      </c>
      <c r="B445" s="50">
        <f>+IFERROR(COUNTIF($J$3:J445,J445)," ")</f>
        <v>18</v>
      </c>
      <c r="C445" s="54" t="str">
        <f>+'Score BD'!$J445&amp;'Score BD'!$B445</f>
        <v>Valentina Castillo Rondón18</v>
      </c>
      <c r="D445" s="91" t="s">
        <v>148</v>
      </c>
      <c r="E445" s="92" t="s">
        <v>165</v>
      </c>
      <c r="F445" s="92" t="s">
        <v>212</v>
      </c>
      <c r="G445" s="60" t="str">
        <f t="shared" si="67"/>
        <v>Noviembre</v>
      </c>
      <c r="H445" s="67">
        <v>45989</v>
      </c>
      <c r="I445" s="243">
        <v>45988</v>
      </c>
      <c r="J445" s="57" t="s">
        <v>183</v>
      </c>
      <c r="K445" s="54">
        <f>IFERROR(VLOOKUP('Score BD'!$J445,Lista!A:B,2,0)," ")</f>
        <v>1121950095</v>
      </c>
      <c r="L445" s="61" t="s">
        <v>712</v>
      </c>
      <c r="M445" s="59" t="s">
        <v>4</v>
      </c>
      <c r="N445" s="59" t="s">
        <v>4</v>
      </c>
      <c r="O445" s="59" t="s">
        <v>4</v>
      </c>
      <c r="P445" s="59" t="s">
        <v>4</v>
      </c>
      <c r="Q445" s="96">
        <f t="shared" si="68"/>
        <v>1</v>
      </c>
      <c r="R445" s="59" t="s">
        <v>4</v>
      </c>
      <c r="S445" s="59" t="s">
        <v>4</v>
      </c>
      <c r="T445" s="59" t="s">
        <v>4</v>
      </c>
      <c r="U445" s="59" t="s">
        <v>4</v>
      </c>
      <c r="V445" s="45">
        <f t="shared" si="69"/>
        <v>1</v>
      </c>
      <c r="W445" s="59" t="s">
        <v>4</v>
      </c>
      <c r="X445" s="59" t="s">
        <v>4</v>
      </c>
      <c r="Y445" s="59" t="s">
        <v>4</v>
      </c>
      <c r="Z445" s="59" t="s">
        <v>4</v>
      </c>
      <c r="AA445" s="59" t="s">
        <v>4</v>
      </c>
      <c r="AB445" s="59" t="s">
        <v>4</v>
      </c>
      <c r="AC445" s="45">
        <f t="shared" si="70"/>
        <v>1.000000000000002</v>
      </c>
      <c r="AD445" s="43" t="s">
        <v>4</v>
      </c>
      <c r="AE445" s="43" t="s">
        <v>4</v>
      </c>
      <c r="AF445" s="97">
        <f t="shared" si="71"/>
        <v>1</v>
      </c>
      <c r="AG445" s="44">
        <f t="shared" si="72"/>
        <v>1.0000000000000004</v>
      </c>
      <c r="AH445" s="55">
        <f t="shared" si="73"/>
        <v>0</v>
      </c>
      <c r="AI445" s="55">
        <f>COUNTIF('Score BD'!$M445:$P445,"no")</f>
        <v>0</v>
      </c>
      <c r="AJ445" s="55">
        <f t="shared" si="74"/>
        <v>0</v>
      </c>
      <c r="AK445" s="55">
        <f t="shared" si="75"/>
        <v>0</v>
      </c>
      <c r="AL445" s="55">
        <f t="shared" si="76"/>
        <v>0</v>
      </c>
      <c r="AM445" s="157" t="s">
        <v>717</v>
      </c>
      <c r="AN445" s="55"/>
      <c r="AO445" s="61"/>
      <c r="AP445" s="61"/>
      <c r="AQ445" s="59" t="str">
        <f>IFERROR(_xlfn.XLOOKUP(Tabla1[[#This Row],[Cedula agente]],Lista!$B$2:$B$97,Lista!$G$2:$G$97)," ")</f>
        <v>Luisa Fernanda Benavides Castrillon</v>
      </c>
      <c r="AR445" s="59" t="s">
        <v>162</v>
      </c>
      <c r="AS445" s="55" t="str">
        <f>IFERROR(_xlfn.XLOOKUP(Tabla1[[#This Row],[Cedula agente]],Lista!$B$2:$B$97,Lista!$F$2:$F$97)," ")</f>
        <v>John Sebastian Roncancio Avendaño</v>
      </c>
      <c r="AT445" s="99">
        <v>0.95</v>
      </c>
      <c r="AU445" s="200">
        <f>+WEEKNUM('Score BD'!$H445)-WEEKNUM(DATE(YEAR('Score BD'!$H445),MONTH('Score BD'!$H445),1))+1</f>
        <v>5</v>
      </c>
    </row>
    <row r="446" spans="1:47" ht="17.45" customHeight="1" x14ac:dyDescent="0.3">
      <c r="A446" s="49" t="str">
        <f t="shared" si="66"/>
        <v>Ministerio de Educación Nacional</v>
      </c>
      <c r="B446" s="50">
        <f>+IFERROR(COUNTIF($J$3:J446,J446)," ")</f>
        <v>21</v>
      </c>
      <c r="C446" s="54" t="str">
        <f>+'Score BD'!$J446&amp;'Score BD'!$B446</f>
        <v>Yenny Maribel Duran Ovejero21</v>
      </c>
      <c r="D446" s="91" t="s">
        <v>148</v>
      </c>
      <c r="E446" s="92" t="s">
        <v>165</v>
      </c>
      <c r="F446" s="92" t="s">
        <v>212</v>
      </c>
      <c r="G446" s="60" t="str">
        <f t="shared" si="67"/>
        <v>Noviembre</v>
      </c>
      <c r="H446" s="67">
        <v>45989</v>
      </c>
      <c r="I446" s="243">
        <v>45988</v>
      </c>
      <c r="J446" s="57" t="s">
        <v>206</v>
      </c>
      <c r="K446" s="54">
        <f>IFERROR(VLOOKUP('Score BD'!$J446,Lista!A:B,2,0)," ")</f>
        <v>52962387</v>
      </c>
      <c r="L446" s="61" t="s">
        <v>713</v>
      </c>
      <c r="M446" s="59" t="s">
        <v>4</v>
      </c>
      <c r="N446" s="59" t="s">
        <v>4</v>
      </c>
      <c r="O446" s="59" t="s">
        <v>4</v>
      </c>
      <c r="P446" s="59" t="s">
        <v>4</v>
      </c>
      <c r="Q446" s="96">
        <f t="shared" si="68"/>
        <v>1</v>
      </c>
      <c r="R446" s="59" t="s">
        <v>4</v>
      </c>
      <c r="S446" s="59" t="s">
        <v>4</v>
      </c>
      <c r="T446" s="59" t="s">
        <v>4</v>
      </c>
      <c r="U446" s="59" t="s">
        <v>4</v>
      </c>
      <c r="V446" s="45">
        <f t="shared" si="69"/>
        <v>1</v>
      </c>
      <c r="W446" s="59" t="s">
        <v>4</v>
      </c>
      <c r="X446" s="59" t="s">
        <v>4</v>
      </c>
      <c r="Y446" s="59" t="s">
        <v>4</v>
      </c>
      <c r="Z446" s="59" t="s">
        <v>4</v>
      </c>
      <c r="AA446" s="59" t="s">
        <v>4</v>
      </c>
      <c r="AB446" s="59" t="s">
        <v>4</v>
      </c>
      <c r="AC446" s="45">
        <f t="shared" si="70"/>
        <v>1.000000000000002</v>
      </c>
      <c r="AD446" s="43" t="s">
        <v>4</v>
      </c>
      <c r="AE446" s="43" t="s">
        <v>4</v>
      </c>
      <c r="AF446" s="97">
        <f t="shared" si="71"/>
        <v>1</v>
      </c>
      <c r="AG446" s="44">
        <f t="shared" si="72"/>
        <v>1.0000000000000004</v>
      </c>
      <c r="AH446" s="55">
        <f t="shared" si="73"/>
        <v>0</v>
      </c>
      <c r="AI446" s="55">
        <f>COUNTIF('Score BD'!$M446:$P446,"no")</f>
        <v>0</v>
      </c>
      <c r="AJ446" s="55">
        <f t="shared" si="74"/>
        <v>0</v>
      </c>
      <c r="AK446" s="55">
        <f t="shared" si="75"/>
        <v>0</v>
      </c>
      <c r="AL446" s="55">
        <f t="shared" si="76"/>
        <v>0</v>
      </c>
      <c r="AM446" s="157" t="s">
        <v>717</v>
      </c>
      <c r="AN446" s="55"/>
      <c r="AO446" s="61"/>
      <c r="AP446" s="61"/>
      <c r="AQ446" s="59" t="str">
        <f>IFERROR(_xlfn.XLOOKUP(Tabla1[[#This Row],[Cedula agente]],Lista!$B$2:$B$97,Lista!$G$2:$G$97)," ")</f>
        <v>Luisa Fernanda Benavides Castrillon</v>
      </c>
      <c r="AR446" s="59" t="s">
        <v>162</v>
      </c>
      <c r="AS446" s="55" t="str">
        <f>IFERROR(_xlfn.XLOOKUP(Tabla1[[#This Row],[Cedula agente]],Lista!$B$2:$B$97,Lista!$F$2:$F$97)," ")</f>
        <v>John Sebastian Roncancio Avendaño</v>
      </c>
      <c r="AT446" s="99">
        <v>0.95</v>
      </c>
      <c r="AU446" s="200">
        <f>+WEEKNUM('Score BD'!$H446)-WEEKNUM(DATE(YEAR('Score BD'!$H446),MONTH('Score BD'!$H446),1))+1</f>
        <v>5</v>
      </c>
    </row>
    <row r="447" spans="1:47" ht="17.45" customHeight="1" x14ac:dyDescent="0.3">
      <c r="A447" s="49" t="str">
        <f t="shared" si="66"/>
        <v>Ministerio de Educación Nacional</v>
      </c>
      <c r="B447" s="50">
        <f>+IFERROR(COUNTIF($J$3:J447,J447)," ")</f>
        <v>22</v>
      </c>
      <c r="C447" s="54" t="str">
        <f>+'Score BD'!$J447&amp;'Score BD'!$B447</f>
        <v>Yenny Maribel Duran Ovejero22</v>
      </c>
      <c r="D447" s="91" t="s">
        <v>148</v>
      </c>
      <c r="E447" s="92" t="s">
        <v>165</v>
      </c>
      <c r="F447" s="92" t="s">
        <v>212</v>
      </c>
      <c r="G447" s="60" t="str">
        <f t="shared" si="67"/>
        <v>Noviembre</v>
      </c>
      <c r="H447" s="67">
        <v>45989</v>
      </c>
      <c r="I447" s="243">
        <v>45988</v>
      </c>
      <c r="J447" s="57" t="s">
        <v>206</v>
      </c>
      <c r="K447" s="54">
        <f>IFERROR(VLOOKUP('Score BD'!$J447,Lista!A:B,2,0)," ")</f>
        <v>52962387</v>
      </c>
      <c r="L447" s="61" t="s">
        <v>714</v>
      </c>
      <c r="M447" s="59" t="s">
        <v>4</v>
      </c>
      <c r="N447" s="59" t="s">
        <v>4</v>
      </c>
      <c r="O447" s="59" t="s">
        <v>4</v>
      </c>
      <c r="P447" s="59" t="s">
        <v>4</v>
      </c>
      <c r="Q447" s="96">
        <f t="shared" si="68"/>
        <v>1</v>
      </c>
      <c r="R447" s="59" t="s">
        <v>4</v>
      </c>
      <c r="S447" s="59" t="s">
        <v>4</v>
      </c>
      <c r="T447" s="59" t="s">
        <v>4</v>
      </c>
      <c r="U447" s="59" t="s">
        <v>4</v>
      </c>
      <c r="V447" s="45">
        <f t="shared" si="69"/>
        <v>1</v>
      </c>
      <c r="W447" s="59" t="s">
        <v>4</v>
      </c>
      <c r="X447" s="59" t="s">
        <v>4</v>
      </c>
      <c r="Y447" s="59" t="s">
        <v>4</v>
      </c>
      <c r="Z447" s="59" t="s">
        <v>4</v>
      </c>
      <c r="AA447" s="59" t="s">
        <v>4</v>
      </c>
      <c r="AB447" s="59" t="s">
        <v>4</v>
      </c>
      <c r="AC447" s="45">
        <f t="shared" si="70"/>
        <v>1.000000000000002</v>
      </c>
      <c r="AD447" s="43" t="s">
        <v>4</v>
      </c>
      <c r="AE447" s="43" t="s">
        <v>4</v>
      </c>
      <c r="AF447" s="97">
        <f t="shared" si="71"/>
        <v>1</v>
      </c>
      <c r="AG447" s="44">
        <f t="shared" si="72"/>
        <v>1.0000000000000004</v>
      </c>
      <c r="AH447" s="55">
        <f t="shared" si="73"/>
        <v>0</v>
      </c>
      <c r="AI447" s="55">
        <f>COUNTIF('Score BD'!$M447:$P447,"no")</f>
        <v>0</v>
      </c>
      <c r="AJ447" s="55">
        <f t="shared" si="74"/>
        <v>0</v>
      </c>
      <c r="AK447" s="55">
        <f t="shared" si="75"/>
        <v>0</v>
      </c>
      <c r="AL447" s="55">
        <f t="shared" si="76"/>
        <v>0</v>
      </c>
      <c r="AM447" s="157" t="s">
        <v>717</v>
      </c>
      <c r="AN447" s="55"/>
      <c r="AO447" s="61"/>
      <c r="AP447" s="61"/>
      <c r="AQ447" s="59" t="str">
        <f>IFERROR(_xlfn.XLOOKUP(Tabla1[[#This Row],[Cedula agente]],Lista!$B$2:$B$97,Lista!$G$2:$G$97)," ")</f>
        <v>Luisa Fernanda Benavides Castrillon</v>
      </c>
      <c r="AR447" s="59" t="s">
        <v>162</v>
      </c>
      <c r="AS447" s="55" t="str">
        <f>IFERROR(_xlfn.XLOOKUP(Tabla1[[#This Row],[Cedula agente]],Lista!$B$2:$B$97,Lista!$F$2:$F$97)," ")</f>
        <v>John Sebastian Roncancio Avendaño</v>
      </c>
      <c r="AT447" s="99">
        <v>0.95</v>
      </c>
      <c r="AU447" s="200">
        <f>+WEEKNUM('Score BD'!$H447)-WEEKNUM(DATE(YEAR('Score BD'!$H447),MONTH('Score BD'!$H447),1))+1</f>
        <v>5</v>
      </c>
    </row>
    <row r="448" spans="1:47" ht="17.45" customHeight="1" x14ac:dyDescent="0.3">
      <c r="A448" s="49" t="str">
        <f t="shared" si="66"/>
        <v xml:space="preserve"> </v>
      </c>
      <c r="B448" s="50">
        <f>+IFERROR(COUNTIF($J$3:J448,J448)," ")</f>
        <v>0</v>
      </c>
      <c r="C448" s="54" t="str">
        <f>+'Score BD'!$J448&amp;'Score BD'!$B448</f>
        <v>0</v>
      </c>
      <c r="D448" s="91" t="s">
        <v>148</v>
      </c>
      <c r="E448" s="92"/>
      <c r="F448" s="92"/>
      <c r="G448" s="60" t="str">
        <f t="shared" si="67"/>
        <v>Enero</v>
      </c>
      <c r="H448" s="67"/>
      <c r="I448" s="243"/>
      <c r="J448" s="57"/>
      <c r="K448" s="54" t="str">
        <f>IFERROR(VLOOKUP('Score BD'!$J448,Lista!A:B,2,0)," ")</f>
        <v xml:space="preserve"> </v>
      </c>
      <c r="L448" s="61"/>
      <c r="M448" s="59"/>
      <c r="N448" s="59"/>
      <c r="O448" s="59"/>
      <c r="P448" s="59"/>
      <c r="Q448" s="96">
        <f t="shared" si="68"/>
        <v>1</v>
      </c>
      <c r="R448" s="59"/>
      <c r="S448" s="59"/>
      <c r="T448" s="59"/>
      <c r="U448" s="59"/>
      <c r="V448" s="45">
        <f t="shared" si="69"/>
        <v>1</v>
      </c>
      <c r="W448" s="59"/>
      <c r="X448" s="59"/>
      <c r="Y448" s="59"/>
      <c r="Z448" s="59"/>
      <c r="AA448" s="59"/>
      <c r="AB448" s="59"/>
      <c r="AC448" s="45">
        <f t="shared" si="70"/>
        <v>1.000000000000002</v>
      </c>
      <c r="AD448" s="43"/>
      <c r="AE448" s="43"/>
      <c r="AF448" s="97">
        <f t="shared" si="71"/>
        <v>1</v>
      </c>
      <c r="AG448" s="44">
        <f t="shared" si="72"/>
        <v>1.0000000000000004</v>
      </c>
      <c r="AH448" s="55">
        <f t="shared" si="73"/>
        <v>0</v>
      </c>
      <c r="AI448" s="55">
        <f>COUNTIF('Score BD'!$M448:$P448,"no")</f>
        <v>0</v>
      </c>
      <c r="AJ448" s="55" t="str">
        <f t="shared" si="74"/>
        <v>-</v>
      </c>
      <c r="AK448" s="55" t="str">
        <f t="shared" si="75"/>
        <v>-</v>
      </c>
      <c r="AL448" s="55" t="str">
        <f t="shared" si="76"/>
        <v>-</v>
      </c>
      <c r="AM448" s="157"/>
      <c r="AN448" s="55"/>
      <c r="AO448" s="61"/>
      <c r="AP448" s="61"/>
      <c r="AQ448" s="59" t="str">
        <f>IFERROR(_xlfn.XLOOKUP(Tabla1[[#This Row],[Cedula agente]],Lista!$B$2:$B$97,Lista!$G$2:$G$97)," ")</f>
        <v xml:space="preserve"> </v>
      </c>
      <c r="AR448" s="59" t="s">
        <v>162</v>
      </c>
      <c r="AS448" s="55" t="str">
        <f>IFERROR(_xlfn.XLOOKUP(Tabla1[[#This Row],[Cedula agente]],Lista!$B$2:$B$97,Lista!$F$2:$F$97)," ")</f>
        <v xml:space="preserve"> </v>
      </c>
      <c r="AT448" s="99">
        <v>0.95</v>
      </c>
      <c r="AU448" s="200">
        <f>+WEEKNUM('Score BD'!$H448)-WEEKNUM(DATE(YEAR('Score BD'!$H448),MONTH('Score BD'!$H448),1))+1</f>
        <v>0</v>
      </c>
    </row>
    <row r="449" spans="1:47" ht="17.45" customHeight="1" x14ac:dyDescent="0.3">
      <c r="A449" s="49" t="str">
        <f t="shared" si="66"/>
        <v xml:space="preserve"> </v>
      </c>
      <c r="B449" s="50">
        <f>+IFERROR(COUNTIF($J$3:J449,J449)," ")</f>
        <v>0</v>
      </c>
      <c r="C449" s="54" t="str">
        <f>+'Score BD'!$J449&amp;'Score BD'!$B449</f>
        <v>0</v>
      </c>
      <c r="D449" s="91" t="s">
        <v>148</v>
      </c>
      <c r="E449" s="92"/>
      <c r="F449" s="92"/>
      <c r="G449" s="60" t="str">
        <f t="shared" si="67"/>
        <v>Enero</v>
      </c>
      <c r="H449" s="67"/>
      <c r="I449" s="243"/>
      <c r="J449" s="57"/>
      <c r="K449" s="54" t="str">
        <f>IFERROR(VLOOKUP('Score BD'!$J449,Lista!A:B,2,0)," ")</f>
        <v xml:space="preserve"> </v>
      </c>
      <c r="L449" s="61"/>
      <c r="M449" s="59"/>
      <c r="N449" s="59"/>
      <c r="O449" s="59"/>
      <c r="P449" s="59"/>
      <c r="Q449" s="96">
        <f t="shared" si="68"/>
        <v>1</v>
      </c>
      <c r="R449" s="59"/>
      <c r="S449" s="59"/>
      <c r="T449" s="59"/>
      <c r="U449" s="59"/>
      <c r="V449" s="45">
        <f t="shared" si="69"/>
        <v>1</v>
      </c>
      <c r="W449" s="59"/>
      <c r="X449" s="59"/>
      <c r="Y449" s="59"/>
      <c r="Z449" s="59"/>
      <c r="AA449" s="59"/>
      <c r="AB449" s="59"/>
      <c r="AC449" s="45">
        <f t="shared" si="70"/>
        <v>1.000000000000002</v>
      </c>
      <c r="AD449" s="43"/>
      <c r="AE449" s="43"/>
      <c r="AF449" s="97">
        <f t="shared" si="71"/>
        <v>1</v>
      </c>
      <c r="AG449" s="44">
        <f t="shared" si="72"/>
        <v>1.0000000000000004</v>
      </c>
      <c r="AH449" s="55">
        <f t="shared" si="73"/>
        <v>0</v>
      </c>
      <c r="AI449" s="55">
        <f>COUNTIF('Score BD'!$M449:$P449,"no")</f>
        <v>0</v>
      </c>
      <c r="AJ449" s="55" t="str">
        <f t="shared" si="74"/>
        <v>-</v>
      </c>
      <c r="AK449" s="55" t="str">
        <f t="shared" si="75"/>
        <v>-</v>
      </c>
      <c r="AL449" s="55" t="str">
        <f t="shared" si="76"/>
        <v>-</v>
      </c>
      <c r="AM449" s="157"/>
      <c r="AN449" s="55"/>
      <c r="AO449" s="61"/>
      <c r="AP449" s="61"/>
      <c r="AQ449" s="59" t="str">
        <f>IFERROR(_xlfn.XLOOKUP(Tabla1[[#This Row],[Cedula agente]],Lista!$B$2:$B$97,Lista!$G$2:$G$97)," ")</f>
        <v xml:space="preserve"> </v>
      </c>
      <c r="AR449" s="59" t="s">
        <v>162</v>
      </c>
      <c r="AS449" s="55" t="str">
        <f>IFERROR(_xlfn.XLOOKUP(Tabla1[[#This Row],[Cedula agente]],Lista!$B$2:$B$97,Lista!$F$2:$F$97)," ")</f>
        <v xml:space="preserve"> </v>
      </c>
      <c r="AT449" s="99">
        <v>0.95</v>
      </c>
      <c r="AU449" s="200">
        <f>+WEEKNUM('Score BD'!$H449)-WEEKNUM(DATE(YEAR('Score BD'!$H449),MONTH('Score BD'!$H449),1))+1</f>
        <v>0</v>
      </c>
    </row>
    <row r="450" spans="1:47" ht="17.45" customHeight="1" x14ac:dyDescent="0.3">
      <c r="A450" s="49" t="str">
        <f t="shared" si="66"/>
        <v xml:space="preserve"> </v>
      </c>
      <c r="B450" s="50">
        <f>+IFERROR(COUNTIF($J$3:J450,J450)," ")</f>
        <v>0</v>
      </c>
      <c r="C450" s="54" t="str">
        <f>+'Score BD'!$J450&amp;'Score BD'!$B450</f>
        <v>0</v>
      </c>
      <c r="D450" s="91" t="s">
        <v>148</v>
      </c>
      <c r="E450" s="92"/>
      <c r="F450" s="92"/>
      <c r="G450" s="60" t="str">
        <f t="shared" si="67"/>
        <v>Enero</v>
      </c>
      <c r="H450" s="67"/>
      <c r="I450" s="243"/>
      <c r="J450" s="57"/>
      <c r="K450" s="54" t="str">
        <f>IFERROR(VLOOKUP('Score BD'!$J450,Lista!A:B,2,0)," ")</f>
        <v xml:space="preserve"> </v>
      </c>
      <c r="L450" s="61"/>
      <c r="M450" s="59"/>
      <c r="N450" s="59"/>
      <c r="O450" s="59"/>
      <c r="P450" s="59"/>
      <c r="Q450" s="96">
        <f t="shared" si="68"/>
        <v>1</v>
      </c>
      <c r="R450" s="59"/>
      <c r="S450" s="59"/>
      <c r="T450" s="59"/>
      <c r="U450" s="59"/>
      <c r="V450" s="45">
        <f t="shared" si="69"/>
        <v>1</v>
      </c>
      <c r="W450" s="59"/>
      <c r="X450" s="59"/>
      <c r="Y450" s="59"/>
      <c r="Z450" s="59"/>
      <c r="AA450" s="59"/>
      <c r="AB450" s="59"/>
      <c r="AC450" s="45">
        <f t="shared" si="70"/>
        <v>1.000000000000002</v>
      </c>
      <c r="AD450" s="43"/>
      <c r="AE450" s="43"/>
      <c r="AF450" s="97">
        <f t="shared" si="71"/>
        <v>1</v>
      </c>
      <c r="AG450" s="44">
        <f t="shared" si="72"/>
        <v>1.0000000000000004</v>
      </c>
      <c r="AH450" s="55">
        <f t="shared" si="73"/>
        <v>0</v>
      </c>
      <c r="AI450" s="55">
        <f>COUNTIF('Score BD'!$M450:$P450,"no")</f>
        <v>0</v>
      </c>
      <c r="AJ450" s="55" t="str">
        <f t="shared" si="74"/>
        <v>-</v>
      </c>
      <c r="AK450" s="55" t="str">
        <f t="shared" si="75"/>
        <v>-</v>
      </c>
      <c r="AL450" s="55" t="str">
        <f t="shared" si="76"/>
        <v>-</v>
      </c>
      <c r="AM450" s="157"/>
      <c r="AN450" s="55"/>
      <c r="AO450" s="61"/>
      <c r="AP450" s="61"/>
      <c r="AQ450" s="59" t="str">
        <f>IFERROR(_xlfn.XLOOKUP(Tabla1[[#This Row],[Cedula agente]],Lista!$B$2:$B$97,Lista!$G$2:$G$97)," ")</f>
        <v xml:space="preserve"> </v>
      </c>
      <c r="AR450" s="59" t="s">
        <v>162</v>
      </c>
      <c r="AS450" s="55" t="str">
        <f>IFERROR(_xlfn.XLOOKUP(Tabla1[[#This Row],[Cedula agente]],Lista!$B$2:$B$97,Lista!$F$2:$F$97)," ")</f>
        <v xml:space="preserve"> </v>
      </c>
      <c r="AT450" s="99">
        <v>0.95</v>
      </c>
      <c r="AU450" s="200">
        <f>+WEEKNUM('Score BD'!$H450)-WEEKNUM(DATE(YEAR('Score BD'!$H450),MONTH('Score BD'!$H450),1))+1</f>
        <v>0</v>
      </c>
    </row>
    <row r="451" spans="1:47" ht="17.45" customHeight="1" x14ac:dyDescent="0.3">
      <c r="A451" s="49" t="str">
        <f t="shared" si="66"/>
        <v xml:space="preserve"> </v>
      </c>
      <c r="B451" s="50">
        <f>+IFERROR(COUNTIF($J$3:J451,J451)," ")</f>
        <v>0</v>
      </c>
      <c r="C451" s="54" t="str">
        <f>+'Score BD'!$J451&amp;'Score BD'!$B451</f>
        <v>0</v>
      </c>
      <c r="D451" s="91" t="s">
        <v>148</v>
      </c>
      <c r="E451" s="92"/>
      <c r="F451" s="92"/>
      <c r="G451" s="60" t="str">
        <f t="shared" si="67"/>
        <v>Enero</v>
      </c>
      <c r="H451" s="67"/>
      <c r="I451" s="243"/>
      <c r="J451" s="57"/>
      <c r="K451" s="54" t="str">
        <f>IFERROR(VLOOKUP('Score BD'!$J451,Lista!A:B,2,0)," ")</f>
        <v xml:space="preserve"> </v>
      </c>
      <c r="L451" s="61"/>
      <c r="M451" s="59"/>
      <c r="N451" s="59"/>
      <c r="O451" s="59"/>
      <c r="P451" s="59"/>
      <c r="Q451" s="96">
        <f t="shared" si="68"/>
        <v>1</v>
      </c>
      <c r="R451" s="59"/>
      <c r="S451" s="59"/>
      <c r="T451" s="59"/>
      <c r="U451" s="59"/>
      <c r="V451" s="45">
        <f t="shared" si="69"/>
        <v>1</v>
      </c>
      <c r="W451" s="59"/>
      <c r="X451" s="59"/>
      <c r="Y451" s="59"/>
      <c r="Z451" s="59"/>
      <c r="AA451" s="59"/>
      <c r="AB451" s="59"/>
      <c r="AC451" s="45">
        <f t="shared" si="70"/>
        <v>1.000000000000002</v>
      </c>
      <c r="AD451" s="43"/>
      <c r="AE451" s="43"/>
      <c r="AF451" s="97">
        <f t="shared" si="71"/>
        <v>1</v>
      </c>
      <c r="AG451" s="44">
        <f t="shared" si="72"/>
        <v>1.0000000000000004</v>
      </c>
      <c r="AH451" s="55">
        <f t="shared" si="73"/>
        <v>0</v>
      </c>
      <c r="AI451" s="55">
        <f>COUNTIF('Score BD'!$M451:$P451,"no")</f>
        <v>0</v>
      </c>
      <c r="AJ451" s="55" t="str">
        <f t="shared" si="74"/>
        <v>-</v>
      </c>
      <c r="AK451" s="55" t="str">
        <f t="shared" si="75"/>
        <v>-</v>
      </c>
      <c r="AL451" s="55" t="str">
        <f t="shared" si="76"/>
        <v>-</v>
      </c>
      <c r="AM451" s="157"/>
      <c r="AN451" s="55"/>
      <c r="AO451" s="61"/>
      <c r="AP451" s="61"/>
      <c r="AQ451" s="59" t="str">
        <f>IFERROR(_xlfn.XLOOKUP(Tabla1[[#This Row],[Cedula agente]],Lista!$B$2:$B$97,Lista!$G$2:$G$97)," ")</f>
        <v xml:space="preserve"> </v>
      </c>
      <c r="AR451" s="59" t="s">
        <v>162</v>
      </c>
      <c r="AS451" s="55" t="str">
        <f>IFERROR(_xlfn.XLOOKUP(Tabla1[[#This Row],[Cedula agente]],Lista!$B$2:$B$97,Lista!$F$2:$F$97)," ")</f>
        <v xml:space="preserve"> </v>
      </c>
      <c r="AT451" s="99">
        <v>0.95</v>
      </c>
      <c r="AU451" s="200">
        <f>+WEEKNUM('Score BD'!$H451)-WEEKNUM(DATE(YEAR('Score BD'!$H451),MONTH('Score BD'!$H451),1))+1</f>
        <v>0</v>
      </c>
    </row>
    <row r="452" spans="1:47" ht="17.45" customHeight="1" x14ac:dyDescent="0.3">
      <c r="A452" s="49" t="str">
        <f t="shared" ref="A452:A515" si="77">+IF(B452&gt;0,"Ministerio de Educación Nacional"," ")</f>
        <v xml:space="preserve"> </v>
      </c>
      <c r="B452" s="50">
        <f>+IFERROR(COUNTIF($J$3:J452,J452)," ")</f>
        <v>0</v>
      </c>
      <c r="C452" s="54" t="str">
        <f>+'Score BD'!$J452&amp;'Score BD'!$B452</f>
        <v>0</v>
      </c>
      <c r="D452" s="91" t="s">
        <v>148</v>
      </c>
      <c r="E452" s="92"/>
      <c r="F452" s="92"/>
      <c r="G452" s="60" t="str">
        <f t="shared" ref="G452:G515" si="78">+PROPER(TEXT(H452,"mmmm"))</f>
        <v>Enero</v>
      </c>
      <c r="H452" s="67"/>
      <c r="I452" s="243"/>
      <c r="J452" s="57"/>
      <c r="K452" s="54" t="str">
        <f>IFERROR(VLOOKUP('Score BD'!$J452,Lista!A:B,2,0)," ")</f>
        <v xml:space="preserve"> </v>
      </c>
      <c r="L452" s="61"/>
      <c r="M452" s="59"/>
      <c r="N452" s="59"/>
      <c r="O452" s="59"/>
      <c r="P452" s="59"/>
      <c r="Q452" s="96">
        <f t="shared" ref="Q452:Q515" si="79">+IF(M452="NO",0,25%)+IF(N452="NO",0,25%)+IF(O452="NO",0,25%)+IF(P452="NO",0,25%)</f>
        <v>1</v>
      </c>
      <c r="R452" s="59"/>
      <c r="S452" s="59"/>
      <c r="T452" s="59"/>
      <c r="U452" s="59"/>
      <c r="V452" s="45">
        <f t="shared" ref="V452:V515" si="80">+IF(R452="NO",0,25%)+IF(S452="NO",0,25%)+IF(T452="NO",0,25%)+IF(U452="NO",0,25%)</f>
        <v>1</v>
      </c>
      <c r="W452" s="59"/>
      <c r="X452" s="59"/>
      <c r="Y452" s="59"/>
      <c r="Z452" s="59"/>
      <c r="AA452" s="59"/>
      <c r="AB452" s="59"/>
      <c r="AC452" s="45">
        <f t="shared" ref="AC452:AC515" si="81">+IF(W452="NO",0%,16.6666666666667%)+IF(X452="NO",0%,16.6666666666667%)+IF(Y452="NO",0%,16.6666666666667%)+IF(Z452="NO",0%,16.6666666666667%)+IF(AA452="NO",0%,16.6666666666667%)+IF(AB452="NO",0%,16.6666666666667%)</f>
        <v>1.000000000000002</v>
      </c>
      <c r="AD452" s="43"/>
      <c r="AE452" s="43"/>
      <c r="AF452" s="97">
        <f t="shared" ref="AF452:AF515" si="82">+IF(AD452="NO",0%,50%)+IF(AE452="NO",0%,50%)</f>
        <v>1</v>
      </c>
      <c r="AG452" s="44">
        <f t="shared" ref="AG452:AG515" si="83">AVERAGE(AF452,AC452,V452,Q452)</f>
        <v>1.0000000000000004</v>
      </c>
      <c r="AH452" s="55">
        <f t="shared" ref="AH452:AH515" si="84">+COUNTIF(W452:AB452,"no")+COUNTIF(R452:U452,"no")+COUNTIF(AD452:AE452,"no")</f>
        <v>0</v>
      </c>
      <c r="AI452" s="55">
        <f>COUNTIF('Score BD'!$M452:$P452,"no")</f>
        <v>0</v>
      </c>
      <c r="AJ452" s="55" t="str">
        <f t="shared" ref="AJ452:AJ515" si="85">+IF(COUNTA(R452:U452)=0,"-",COUNTIF(R452:U452,"NO"))</f>
        <v>-</v>
      </c>
      <c r="AK452" s="55" t="str">
        <f t="shared" ref="AK452:AK515" si="86">+IF(COUNTA(W452:AB452)=0,"-",COUNTIF(W452:AB452,"NO"))</f>
        <v>-</v>
      </c>
      <c r="AL452" s="55" t="str">
        <f t="shared" ref="AL452:AL515" si="87">+IF(COUNTA(AD452:AE452)=0,"-",COUNTIF(AD452:AE452,"NO"))</f>
        <v>-</v>
      </c>
      <c r="AM452" s="157"/>
      <c r="AN452" s="55"/>
      <c r="AO452" s="61"/>
      <c r="AP452" s="61"/>
      <c r="AQ452" s="59" t="str">
        <f>IFERROR(_xlfn.XLOOKUP(Tabla1[[#This Row],[Cedula agente]],Lista!$B$2:$B$97,Lista!$G$2:$G$97)," ")</f>
        <v xml:space="preserve"> </v>
      </c>
      <c r="AR452" s="59" t="s">
        <v>162</v>
      </c>
      <c r="AS452" s="55" t="str">
        <f>IFERROR(_xlfn.XLOOKUP(Tabla1[[#This Row],[Cedula agente]],Lista!$B$2:$B$97,Lista!$F$2:$F$97)," ")</f>
        <v xml:space="preserve"> </v>
      </c>
      <c r="AT452" s="99">
        <v>0.95</v>
      </c>
      <c r="AU452" s="200">
        <f>+WEEKNUM('Score BD'!$H452)-WEEKNUM(DATE(YEAR('Score BD'!$H452),MONTH('Score BD'!$H452),1))+1</f>
        <v>0</v>
      </c>
    </row>
    <row r="453" spans="1:47" ht="17.45" customHeight="1" x14ac:dyDescent="0.3">
      <c r="A453" s="49" t="str">
        <f t="shared" si="77"/>
        <v xml:space="preserve"> </v>
      </c>
      <c r="B453" s="50">
        <f>+IFERROR(COUNTIF($J$3:J453,J453)," ")</f>
        <v>0</v>
      </c>
      <c r="C453" s="54" t="str">
        <f>+'Score BD'!$J453&amp;'Score BD'!$B453</f>
        <v>0</v>
      </c>
      <c r="D453" s="91" t="s">
        <v>148</v>
      </c>
      <c r="E453" s="92"/>
      <c r="F453" s="92"/>
      <c r="G453" s="60" t="str">
        <f t="shared" si="78"/>
        <v>Enero</v>
      </c>
      <c r="H453" s="67"/>
      <c r="I453" s="243"/>
      <c r="J453" s="57"/>
      <c r="K453" s="54" t="str">
        <f>IFERROR(VLOOKUP('Score BD'!$J453,Lista!A:B,2,0)," ")</f>
        <v xml:space="preserve"> </v>
      </c>
      <c r="L453" s="61"/>
      <c r="M453" s="59"/>
      <c r="N453" s="59"/>
      <c r="O453" s="59"/>
      <c r="P453" s="59"/>
      <c r="Q453" s="96">
        <f t="shared" si="79"/>
        <v>1</v>
      </c>
      <c r="R453" s="59"/>
      <c r="S453" s="59"/>
      <c r="T453" s="59"/>
      <c r="U453" s="59"/>
      <c r="V453" s="45">
        <f t="shared" si="80"/>
        <v>1</v>
      </c>
      <c r="W453" s="59"/>
      <c r="X453" s="59"/>
      <c r="Y453" s="59"/>
      <c r="Z453" s="59"/>
      <c r="AA453" s="59"/>
      <c r="AB453" s="59"/>
      <c r="AC453" s="45">
        <f t="shared" si="81"/>
        <v>1.000000000000002</v>
      </c>
      <c r="AD453" s="43"/>
      <c r="AE453" s="43"/>
      <c r="AF453" s="97">
        <f t="shared" si="82"/>
        <v>1</v>
      </c>
      <c r="AG453" s="44">
        <f t="shared" si="83"/>
        <v>1.0000000000000004</v>
      </c>
      <c r="AH453" s="55">
        <f t="shared" si="84"/>
        <v>0</v>
      </c>
      <c r="AI453" s="55">
        <f>COUNTIF('Score BD'!$M453:$P453,"no")</f>
        <v>0</v>
      </c>
      <c r="AJ453" s="55" t="str">
        <f t="shared" si="85"/>
        <v>-</v>
      </c>
      <c r="AK453" s="55" t="str">
        <f t="shared" si="86"/>
        <v>-</v>
      </c>
      <c r="AL453" s="55" t="str">
        <f t="shared" si="87"/>
        <v>-</v>
      </c>
      <c r="AM453" s="157"/>
      <c r="AN453" s="55"/>
      <c r="AO453" s="61"/>
      <c r="AP453" s="61"/>
      <c r="AQ453" s="59" t="str">
        <f>IFERROR(_xlfn.XLOOKUP(Tabla1[[#This Row],[Cedula agente]],Lista!$B$2:$B$97,Lista!$G$2:$G$97)," ")</f>
        <v xml:space="preserve"> </v>
      </c>
      <c r="AR453" s="59" t="s">
        <v>162</v>
      </c>
      <c r="AS453" s="55" t="str">
        <f>IFERROR(_xlfn.XLOOKUP(Tabla1[[#This Row],[Cedula agente]],Lista!$B$2:$B$97,Lista!$F$2:$F$97)," ")</f>
        <v xml:space="preserve"> </v>
      </c>
      <c r="AT453" s="99">
        <v>0.95</v>
      </c>
      <c r="AU453" s="200">
        <f>+WEEKNUM('Score BD'!$H453)-WEEKNUM(DATE(YEAR('Score BD'!$H453),MONTH('Score BD'!$H453),1))+1</f>
        <v>0</v>
      </c>
    </row>
    <row r="454" spans="1:47" ht="17.45" customHeight="1" x14ac:dyDescent="0.3">
      <c r="A454" s="49" t="str">
        <f t="shared" si="77"/>
        <v xml:space="preserve"> </v>
      </c>
      <c r="B454" s="50">
        <f>+IFERROR(COUNTIF($J$3:J454,J454)," ")</f>
        <v>0</v>
      </c>
      <c r="C454" s="54" t="str">
        <f>+'Score BD'!$J454&amp;'Score BD'!$B454</f>
        <v>0</v>
      </c>
      <c r="D454" s="91" t="s">
        <v>148</v>
      </c>
      <c r="E454" s="92"/>
      <c r="F454" s="92"/>
      <c r="G454" s="60" t="str">
        <f t="shared" si="78"/>
        <v>Enero</v>
      </c>
      <c r="H454" s="67"/>
      <c r="I454" s="243"/>
      <c r="J454" s="57"/>
      <c r="K454" s="54" t="str">
        <f>IFERROR(VLOOKUP('Score BD'!$J454,Lista!A:B,2,0)," ")</f>
        <v xml:space="preserve"> </v>
      </c>
      <c r="L454" s="61"/>
      <c r="M454" s="59"/>
      <c r="N454" s="59"/>
      <c r="O454" s="59"/>
      <c r="P454" s="59"/>
      <c r="Q454" s="96">
        <f t="shared" si="79"/>
        <v>1</v>
      </c>
      <c r="R454" s="59"/>
      <c r="S454" s="59"/>
      <c r="T454" s="59"/>
      <c r="U454" s="59"/>
      <c r="V454" s="45">
        <f t="shared" si="80"/>
        <v>1</v>
      </c>
      <c r="W454" s="59"/>
      <c r="X454" s="59"/>
      <c r="Y454" s="59"/>
      <c r="Z454" s="59"/>
      <c r="AA454" s="59"/>
      <c r="AB454" s="59"/>
      <c r="AC454" s="45">
        <f t="shared" si="81"/>
        <v>1.000000000000002</v>
      </c>
      <c r="AD454" s="43"/>
      <c r="AE454" s="43"/>
      <c r="AF454" s="97">
        <f t="shared" si="82"/>
        <v>1</v>
      </c>
      <c r="AG454" s="44">
        <f t="shared" si="83"/>
        <v>1.0000000000000004</v>
      </c>
      <c r="AH454" s="55">
        <f t="shared" si="84"/>
        <v>0</v>
      </c>
      <c r="AI454" s="55">
        <f>COUNTIF('Score BD'!$M454:$P454,"no")</f>
        <v>0</v>
      </c>
      <c r="AJ454" s="55" t="str">
        <f t="shared" si="85"/>
        <v>-</v>
      </c>
      <c r="AK454" s="55" t="str">
        <f t="shared" si="86"/>
        <v>-</v>
      </c>
      <c r="AL454" s="55" t="str">
        <f t="shared" si="87"/>
        <v>-</v>
      </c>
      <c r="AM454" s="157"/>
      <c r="AN454" s="55"/>
      <c r="AO454" s="61"/>
      <c r="AP454" s="61"/>
      <c r="AQ454" s="59" t="str">
        <f>IFERROR(_xlfn.XLOOKUP(Tabla1[[#This Row],[Cedula agente]],Lista!$B$2:$B$97,Lista!$G$2:$G$97)," ")</f>
        <v xml:space="preserve"> </v>
      </c>
      <c r="AR454" s="59" t="s">
        <v>162</v>
      </c>
      <c r="AS454" s="55" t="str">
        <f>IFERROR(_xlfn.XLOOKUP(Tabla1[[#This Row],[Cedula agente]],Lista!$B$2:$B$97,Lista!$F$2:$F$97)," ")</f>
        <v xml:space="preserve"> </v>
      </c>
      <c r="AT454" s="99">
        <v>0.95</v>
      </c>
      <c r="AU454" s="200">
        <f>+WEEKNUM('Score BD'!$H454)-WEEKNUM(DATE(YEAR('Score BD'!$H454),MONTH('Score BD'!$H454),1))+1</f>
        <v>0</v>
      </c>
    </row>
    <row r="455" spans="1:47" ht="17.45" customHeight="1" x14ac:dyDescent="0.3">
      <c r="A455" s="49" t="str">
        <f t="shared" si="77"/>
        <v xml:space="preserve"> </v>
      </c>
      <c r="B455" s="50">
        <f>+IFERROR(COUNTIF($J$3:J455,J455)," ")</f>
        <v>0</v>
      </c>
      <c r="C455" s="54" t="str">
        <f>+'Score BD'!$J455&amp;'Score BD'!$B455</f>
        <v>0</v>
      </c>
      <c r="D455" s="91" t="s">
        <v>148</v>
      </c>
      <c r="E455" s="92"/>
      <c r="F455" s="92"/>
      <c r="G455" s="60" t="str">
        <f t="shared" si="78"/>
        <v>Enero</v>
      </c>
      <c r="H455" s="67"/>
      <c r="I455" s="243"/>
      <c r="J455" s="57"/>
      <c r="K455" s="54" t="str">
        <f>IFERROR(VLOOKUP('Score BD'!$J455,Lista!A:B,2,0)," ")</f>
        <v xml:space="preserve"> </v>
      </c>
      <c r="L455" s="61"/>
      <c r="M455" s="59"/>
      <c r="N455" s="59"/>
      <c r="O455" s="59"/>
      <c r="P455" s="59"/>
      <c r="Q455" s="96">
        <f t="shared" si="79"/>
        <v>1</v>
      </c>
      <c r="R455" s="59"/>
      <c r="S455" s="59"/>
      <c r="T455" s="59"/>
      <c r="U455" s="59"/>
      <c r="V455" s="45">
        <f t="shared" si="80"/>
        <v>1</v>
      </c>
      <c r="W455" s="59"/>
      <c r="X455" s="59"/>
      <c r="Y455" s="59"/>
      <c r="Z455" s="59"/>
      <c r="AA455" s="59"/>
      <c r="AB455" s="59"/>
      <c r="AC455" s="45">
        <f t="shared" si="81"/>
        <v>1.000000000000002</v>
      </c>
      <c r="AD455" s="43"/>
      <c r="AE455" s="43"/>
      <c r="AF455" s="97">
        <f t="shared" si="82"/>
        <v>1</v>
      </c>
      <c r="AG455" s="44">
        <f t="shared" si="83"/>
        <v>1.0000000000000004</v>
      </c>
      <c r="AH455" s="55">
        <f t="shared" si="84"/>
        <v>0</v>
      </c>
      <c r="AI455" s="55">
        <f>COUNTIF('Score BD'!$M455:$P455,"no")</f>
        <v>0</v>
      </c>
      <c r="AJ455" s="55" t="str">
        <f t="shared" si="85"/>
        <v>-</v>
      </c>
      <c r="AK455" s="55" t="str">
        <f t="shared" si="86"/>
        <v>-</v>
      </c>
      <c r="AL455" s="55" t="str">
        <f t="shared" si="87"/>
        <v>-</v>
      </c>
      <c r="AM455" s="157"/>
      <c r="AN455" s="55"/>
      <c r="AO455" s="61"/>
      <c r="AP455" s="61"/>
      <c r="AQ455" s="59" t="str">
        <f>IFERROR(_xlfn.XLOOKUP(Tabla1[[#This Row],[Cedula agente]],Lista!$B$2:$B$97,Lista!$G$2:$G$97)," ")</f>
        <v xml:space="preserve"> </v>
      </c>
      <c r="AR455" s="59" t="s">
        <v>162</v>
      </c>
      <c r="AS455" s="55" t="str">
        <f>IFERROR(_xlfn.XLOOKUP(Tabla1[[#This Row],[Cedula agente]],Lista!$B$2:$B$97,Lista!$F$2:$F$97)," ")</f>
        <v xml:space="preserve"> </v>
      </c>
      <c r="AT455" s="99">
        <v>0.95</v>
      </c>
      <c r="AU455" s="200">
        <f>+WEEKNUM('Score BD'!$H455)-WEEKNUM(DATE(YEAR('Score BD'!$H455),MONTH('Score BD'!$H455),1))+1</f>
        <v>0</v>
      </c>
    </row>
    <row r="456" spans="1:47" ht="17.45" customHeight="1" x14ac:dyDescent="0.3">
      <c r="A456" s="49" t="str">
        <f t="shared" si="77"/>
        <v xml:space="preserve"> </v>
      </c>
      <c r="B456" s="50">
        <f>+IFERROR(COUNTIF($J$3:J456,J456)," ")</f>
        <v>0</v>
      </c>
      <c r="C456" s="54" t="str">
        <f>+'Score BD'!$J456&amp;'Score BD'!$B456</f>
        <v>0</v>
      </c>
      <c r="D456" s="91" t="s">
        <v>148</v>
      </c>
      <c r="E456" s="92"/>
      <c r="F456" s="92"/>
      <c r="G456" s="60" t="str">
        <f t="shared" si="78"/>
        <v>Enero</v>
      </c>
      <c r="H456" s="67"/>
      <c r="I456" s="243"/>
      <c r="J456" s="57"/>
      <c r="K456" s="54" t="str">
        <f>IFERROR(VLOOKUP('Score BD'!$J456,Lista!A:B,2,0)," ")</f>
        <v xml:space="preserve"> </v>
      </c>
      <c r="L456" s="61"/>
      <c r="M456" s="59"/>
      <c r="N456" s="59"/>
      <c r="O456" s="59"/>
      <c r="P456" s="59"/>
      <c r="Q456" s="96">
        <f t="shared" si="79"/>
        <v>1</v>
      </c>
      <c r="R456" s="59"/>
      <c r="S456" s="59"/>
      <c r="T456" s="59"/>
      <c r="U456" s="59"/>
      <c r="V456" s="45">
        <f t="shared" si="80"/>
        <v>1</v>
      </c>
      <c r="W456" s="59"/>
      <c r="X456" s="59"/>
      <c r="Y456" s="59"/>
      <c r="Z456" s="59"/>
      <c r="AA456" s="59"/>
      <c r="AB456" s="59"/>
      <c r="AC456" s="45">
        <f t="shared" si="81"/>
        <v>1.000000000000002</v>
      </c>
      <c r="AD456" s="43"/>
      <c r="AE456" s="43"/>
      <c r="AF456" s="97">
        <f t="shared" si="82"/>
        <v>1</v>
      </c>
      <c r="AG456" s="44">
        <f t="shared" si="83"/>
        <v>1.0000000000000004</v>
      </c>
      <c r="AH456" s="55">
        <f t="shared" si="84"/>
        <v>0</v>
      </c>
      <c r="AI456" s="55">
        <f>COUNTIF('Score BD'!$M456:$P456,"no")</f>
        <v>0</v>
      </c>
      <c r="AJ456" s="55" t="str">
        <f t="shared" si="85"/>
        <v>-</v>
      </c>
      <c r="AK456" s="55" t="str">
        <f t="shared" si="86"/>
        <v>-</v>
      </c>
      <c r="AL456" s="55" t="str">
        <f t="shared" si="87"/>
        <v>-</v>
      </c>
      <c r="AM456" s="157"/>
      <c r="AN456" s="55"/>
      <c r="AO456" s="61"/>
      <c r="AP456" s="61"/>
      <c r="AQ456" s="59" t="str">
        <f>IFERROR(_xlfn.XLOOKUP(Tabla1[[#This Row],[Cedula agente]],Lista!$B$2:$B$97,Lista!$G$2:$G$97)," ")</f>
        <v xml:space="preserve"> </v>
      </c>
      <c r="AR456" s="59" t="s">
        <v>162</v>
      </c>
      <c r="AS456" s="55" t="str">
        <f>IFERROR(_xlfn.XLOOKUP(Tabla1[[#This Row],[Cedula agente]],Lista!$B$2:$B$97,Lista!$F$2:$F$97)," ")</f>
        <v xml:space="preserve"> </v>
      </c>
      <c r="AT456" s="99">
        <v>0.95</v>
      </c>
      <c r="AU456" s="200">
        <f>+WEEKNUM('Score BD'!$H456)-WEEKNUM(DATE(YEAR('Score BD'!$H456),MONTH('Score BD'!$H456),1))+1</f>
        <v>0</v>
      </c>
    </row>
    <row r="457" spans="1:47" ht="17.45" customHeight="1" x14ac:dyDescent="0.3">
      <c r="A457" s="49" t="str">
        <f t="shared" si="77"/>
        <v xml:space="preserve"> </v>
      </c>
      <c r="B457" s="50">
        <f>+IFERROR(COUNTIF($J$3:J457,J457)," ")</f>
        <v>0</v>
      </c>
      <c r="C457" s="54" t="str">
        <f>+'Score BD'!$J457&amp;'Score BD'!$B457</f>
        <v>0</v>
      </c>
      <c r="D457" s="91" t="s">
        <v>148</v>
      </c>
      <c r="E457" s="92"/>
      <c r="F457" s="92"/>
      <c r="G457" s="60" t="str">
        <f t="shared" si="78"/>
        <v>Enero</v>
      </c>
      <c r="H457" s="67"/>
      <c r="I457" s="243"/>
      <c r="J457" s="57"/>
      <c r="K457" s="54" t="str">
        <f>IFERROR(VLOOKUP('Score BD'!$J457,Lista!A:B,2,0)," ")</f>
        <v xml:space="preserve"> </v>
      </c>
      <c r="L457" s="61"/>
      <c r="M457" s="59"/>
      <c r="N457" s="59"/>
      <c r="O457" s="59"/>
      <c r="P457" s="59"/>
      <c r="Q457" s="96">
        <f t="shared" si="79"/>
        <v>1</v>
      </c>
      <c r="R457" s="59"/>
      <c r="S457" s="59"/>
      <c r="T457" s="59"/>
      <c r="U457" s="59"/>
      <c r="V457" s="45">
        <f t="shared" si="80"/>
        <v>1</v>
      </c>
      <c r="W457" s="59"/>
      <c r="X457" s="59"/>
      <c r="Y457" s="59"/>
      <c r="Z457" s="59"/>
      <c r="AA457" s="59"/>
      <c r="AB457" s="59"/>
      <c r="AC457" s="45">
        <f t="shared" si="81"/>
        <v>1.000000000000002</v>
      </c>
      <c r="AD457" s="43"/>
      <c r="AE457" s="43"/>
      <c r="AF457" s="97">
        <f t="shared" si="82"/>
        <v>1</v>
      </c>
      <c r="AG457" s="44">
        <f t="shared" si="83"/>
        <v>1.0000000000000004</v>
      </c>
      <c r="AH457" s="55">
        <f t="shared" si="84"/>
        <v>0</v>
      </c>
      <c r="AI457" s="55">
        <f>COUNTIF('Score BD'!$M457:$P457,"no")</f>
        <v>0</v>
      </c>
      <c r="AJ457" s="55" t="str">
        <f t="shared" si="85"/>
        <v>-</v>
      </c>
      <c r="AK457" s="55" t="str">
        <f t="shared" si="86"/>
        <v>-</v>
      </c>
      <c r="AL457" s="55" t="str">
        <f t="shared" si="87"/>
        <v>-</v>
      </c>
      <c r="AM457" s="157"/>
      <c r="AN457" s="55"/>
      <c r="AO457" s="61"/>
      <c r="AP457" s="61"/>
      <c r="AQ457" s="59" t="str">
        <f>IFERROR(_xlfn.XLOOKUP(Tabla1[[#This Row],[Cedula agente]],Lista!$B$2:$B$97,Lista!$G$2:$G$97)," ")</f>
        <v xml:space="preserve"> </v>
      </c>
      <c r="AR457" s="59" t="s">
        <v>162</v>
      </c>
      <c r="AS457" s="55" t="str">
        <f>IFERROR(_xlfn.XLOOKUP(Tabla1[[#This Row],[Cedula agente]],Lista!$B$2:$B$97,Lista!$F$2:$F$97)," ")</f>
        <v xml:space="preserve"> </v>
      </c>
      <c r="AT457" s="99">
        <v>0.95</v>
      </c>
      <c r="AU457" s="200">
        <f>+WEEKNUM('Score BD'!$H457)-WEEKNUM(DATE(YEAR('Score BD'!$H457),MONTH('Score BD'!$H457),1))+1</f>
        <v>0</v>
      </c>
    </row>
    <row r="458" spans="1:47" ht="17.45" customHeight="1" x14ac:dyDescent="0.3">
      <c r="A458" s="49" t="str">
        <f t="shared" si="77"/>
        <v xml:space="preserve"> </v>
      </c>
      <c r="B458" s="50">
        <f>+IFERROR(COUNTIF($J$3:J458,J458)," ")</f>
        <v>0</v>
      </c>
      <c r="C458" s="54" t="str">
        <f>+'Score BD'!$J458&amp;'Score BD'!$B458</f>
        <v>0</v>
      </c>
      <c r="D458" s="91" t="s">
        <v>148</v>
      </c>
      <c r="E458" s="92"/>
      <c r="F458" s="92"/>
      <c r="G458" s="60" t="str">
        <f t="shared" si="78"/>
        <v>Enero</v>
      </c>
      <c r="H458" s="67"/>
      <c r="I458" s="243"/>
      <c r="J458" s="57"/>
      <c r="K458" s="54" t="str">
        <f>IFERROR(VLOOKUP('Score BD'!$J458,Lista!A:B,2,0)," ")</f>
        <v xml:space="preserve"> </v>
      </c>
      <c r="L458" s="61"/>
      <c r="M458" s="59"/>
      <c r="N458" s="59"/>
      <c r="O458" s="59"/>
      <c r="P458" s="59"/>
      <c r="Q458" s="96">
        <f t="shared" si="79"/>
        <v>1</v>
      </c>
      <c r="R458" s="59"/>
      <c r="S458" s="59"/>
      <c r="T458" s="59"/>
      <c r="U458" s="59"/>
      <c r="V458" s="45">
        <f t="shared" si="80"/>
        <v>1</v>
      </c>
      <c r="W458" s="59"/>
      <c r="X458" s="59"/>
      <c r="Y458" s="59"/>
      <c r="Z458" s="59"/>
      <c r="AA458" s="59"/>
      <c r="AB458" s="59"/>
      <c r="AC458" s="45">
        <f t="shared" si="81"/>
        <v>1.000000000000002</v>
      </c>
      <c r="AD458" s="43"/>
      <c r="AE458" s="43"/>
      <c r="AF458" s="97">
        <f t="shared" si="82"/>
        <v>1</v>
      </c>
      <c r="AG458" s="44">
        <f t="shared" si="83"/>
        <v>1.0000000000000004</v>
      </c>
      <c r="AH458" s="55">
        <f t="shared" si="84"/>
        <v>0</v>
      </c>
      <c r="AI458" s="55">
        <f>COUNTIF('Score BD'!$M458:$P458,"no")</f>
        <v>0</v>
      </c>
      <c r="AJ458" s="55" t="str">
        <f t="shared" si="85"/>
        <v>-</v>
      </c>
      <c r="AK458" s="55" t="str">
        <f t="shared" si="86"/>
        <v>-</v>
      </c>
      <c r="AL458" s="55" t="str">
        <f t="shared" si="87"/>
        <v>-</v>
      </c>
      <c r="AM458" s="157"/>
      <c r="AN458" s="55"/>
      <c r="AO458" s="61"/>
      <c r="AP458" s="61"/>
      <c r="AQ458" s="59" t="str">
        <f>IFERROR(_xlfn.XLOOKUP(Tabla1[[#This Row],[Cedula agente]],Lista!$B$2:$B$97,Lista!$G$2:$G$97)," ")</f>
        <v xml:space="preserve"> </v>
      </c>
      <c r="AR458" s="59" t="s">
        <v>162</v>
      </c>
      <c r="AS458" s="55" t="str">
        <f>IFERROR(_xlfn.XLOOKUP(Tabla1[[#This Row],[Cedula agente]],Lista!$B$2:$B$97,Lista!$F$2:$F$97)," ")</f>
        <v xml:space="preserve"> </v>
      </c>
      <c r="AT458" s="99">
        <v>0.95</v>
      </c>
      <c r="AU458" s="200">
        <f>+WEEKNUM('Score BD'!$H458)-WEEKNUM(DATE(YEAR('Score BD'!$H458),MONTH('Score BD'!$H458),1))+1</f>
        <v>0</v>
      </c>
    </row>
    <row r="459" spans="1:47" ht="17.45" customHeight="1" x14ac:dyDescent="0.3">
      <c r="A459" s="49" t="str">
        <f t="shared" si="77"/>
        <v xml:space="preserve"> </v>
      </c>
      <c r="B459" s="50">
        <f>+IFERROR(COUNTIF($J$3:J459,J459)," ")</f>
        <v>0</v>
      </c>
      <c r="C459" s="54" t="str">
        <f>+'Score BD'!$J459&amp;'Score BD'!$B459</f>
        <v>0</v>
      </c>
      <c r="D459" s="91" t="s">
        <v>148</v>
      </c>
      <c r="E459" s="92"/>
      <c r="F459" s="92"/>
      <c r="G459" s="60" t="str">
        <f t="shared" si="78"/>
        <v>Enero</v>
      </c>
      <c r="H459" s="67"/>
      <c r="I459" s="243"/>
      <c r="J459" s="57"/>
      <c r="K459" s="54" t="str">
        <f>IFERROR(VLOOKUP('Score BD'!$J459,Lista!A:B,2,0)," ")</f>
        <v xml:space="preserve"> </v>
      </c>
      <c r="L459" s="61"/>
      <c r="M459" s="59"/>
      <c r="N459" s="59"/>
      <c r="O459" s="59"/>
      <c r="P459" s="59"/>
      <c r="Q459" s="96">
        <f t="shared" si="79"/>
        <v>1</v>
      </c>
      <c r="R459" s="59"/>
      <c r="S459" s="59"/>
      <c r="T459" s="59"/>
      <c r="U459" s="59"/>
      <c r="V459" s="45">
        <f t="shared" si="80"/>
        <v>1</v>
      </c>
      <c r="W459" s="59"/>
      <c r="X459" s="59"/>
      <c r="Y459" s="59"/>
      <c r="Z459" s="59"/>
      <c r="AA459" s="59"/>
      <c r="AB459" s="59"/>
      <c r="AC459" s="45">
        <f t="shared" si="81"/>
        <v>1.000000000000002</v>
      </c>
      <c r="AD459" s="43"/>
      <c r="AE459" s="43"/>
      <c r="AF459" s="97">
        <f t="shared" si="82"/>
        <v>1</v>
      </c>
      <c r="AG459" s="44">
        <f t="shared" si="83"/>
        <v>1.0000000000000004</v>
      </c>
      <c r="AH459" s="55">
        <f t="shared" si="84"/>
        <v>0</v>
      </c>
      <c r="AI459" s="55">
        <f>COUNTIF('Score BD'!$M459:$P459,"no")</f>
        <v>0</v>
      </c>
      <c r="AJ459" s="55" t="str">
        <f t="shared" si="85"/>
        <v>-</v>
      </c>
      <c r="AK459" s="55" t="str">
        <f t="shared" si="86"/>
        <v>-</v>
      </c>
      <c r="AL459" s="55" t="str">
        <f t="shared" si="87"/>
        <v>-</v>
      </c>
      <c r="AM459" s="157"/>
      <c r="AN459" s="55"/>
      <c r="AO459" s="61"/>
      <c r="AP459" s="61"/>
      <c r="AQ459" s="59" t="str">
        <f>IFERROR(_xlfn.XLOOKUP(Tabla1[[#This Row],[Cedula agente]],Lista!$B$2:$B$97,Lista!$G$2:$G$97)," ")</f>
        <v xml:space="preserve"> </v>
      </c>
      <c r="AR459" s="59" t="s">
        <v>162</v>
      </c>
      <c r="AS459" s="55" t="str">
        <f>IFERROR(_xlfn.XLOOKUP(Tabla1[[#This Row],[Cedula agente]],Lista!$B$2:$B$97,Lista!$F$2:$F$97)," ")</f>
        <v xml:space="preserve"> </v>
      </c>
      <c r="AT459" s="99">
        <v>0.95</v>
      </c>
      <c r="AU459" s="200">
        <f>+WEEKNUM('Score BD'!$H459)-WEEKNUM(DATE(YEAR('Score BD'!$H459),MONTH('Score BD'!$H459),1))+1</f>
        <v>0</v>
      </c>
    </row>
    <row r="460" spans="1:47" ht="17.45" customHeight="1" x14ac:dyDescent="0.3">
      <c r="A460" s="49" t="str">
        <f t="shared" si="77"/>
        <v xml:space="preserve"> </v>
      </c>
      <c r="B460" s="50">
        <f>+IFERROR(COUNTIF($J$3:J460,J460)," ")</f>
        <v>0</v>
      </c>
      <c r="C460" s="54" t="str">
        <f>+'Score BD'!$J460&amp;'Score BD'!$B460</f>
        <v>0</v>
      </c>
      <c r="D460" s="91" t="s">
        <v>148</v>
      </c>
      <c r="E460" s="92"/>
      <c r="F460" s="92"/>
      <c r="G460" s="60" t="str">
        <f t="shared" si="78"/>
        <v>Enero</v>
      </c>
      <c r="H460" s="67"/>
      <c r="I460" s="243"/>
      <c r="J460" s="57"/>
      <c r="K460" s="54" t="str">
        <f>IFERROR(VLOOKUP('Score BD'!$J460,Lista!A:B,2,0)," ")</f>
        <v xml:space="preserve"> </v>
      </c>
      <c r="L460" s="61"/>
      <c r="M460" s="59"/>
      <c r="N460" s="59"/>
      <c r="O460" s="59"/>
      <c r="P460" s="59"/>
      <c r="Q460" s="96">
        <f t="shared" si="79"/>
        <v>1</v>
      </c>
      <c r="R460" s="59"/>
      <c r="S460" s="59"/>
      <c r="T460" s="59"/>
      <c r="U460" s="59"/>
      <c r="V460" s="45">
        <f t="shared" si="80"/>
        <v>1</v>
      </c>
      <c r="W460" s="59"/>
      <c r="X460" s="59"/>
      <c r="Y460" s="59"/>
      <c r="Z460" s="59"/>
      <c r="AA460" s="59"/>
      <c r="AB460" s="59"/>
      <c r="AC460" s="45">
        <f t="shared" si="81"/>
        <v>1.000000000000002</v>
      </c>
      <c r="AD460" s="43"/>
      <c r="AE460" s="43"/>
      <c r="AF460" s="97">
        <f t="shared" si="82"/>
        <v>1</v>
      </c>
      <c r="AG460" s="44">
        <f t="shared" si="83"/>
        <v>1.0000000000000004</v>
      </c>
      <c r="AH460" s="55">
        <f t="shared" si="84"/>
        <v>0</v>
      </c>
      <c r="AI460" s="55">
        <f>COUNTIF('Score BD'!$M460:$P460,"no")</f>
        <v>0</v>
      </c>
      <c r="AJ460" s="55" t="str">
        <f t="shared" si="85"/>
        <v>-</v>
      </c>
      <c r="AK460" s="55" t="str">
        <f t="shared" si="86"/>
        <v>-</v>
      </c>
      <c r="AL460" s="55" t="str">
        <f t="shared" si="87"/>
        <v>-</v>
      </c>
      <c r="AM460" s="157"/>
      <c r="AN460" s="55"/>
      <c r="AO460" s="61"/>
      <c r="AP460" s="61"/>
      <c r="AQ460" s="59" t="str">
        <f>IFERROR(_xlfn.XLOOKUP(Tabla1[[#This Row],[Cedula agente]],Lista!$B$2:$B$97,Lista!$G$2:$G$97)," ")</f>
        <v xml:space="preserve"> </v>
      </c>
      <c r="AR460" s="59" t="s">
        <v>162</v>
      </c>
      <c r="AS460" s="55" t="str">
        <f>IFERROR(_xlfn.XLOOKUP(Tabla1[[#This Row],[Cedula agente]],Lista!$B$2:$B$97,Lista!$F$2:$F$97)," ")</f>
        <v xml:space="preserve"> </v>
      </c>
      <c r="AT460" s="99">
        <v>0.95</v>
      </c>
      <c r="AU460" s="200">
        <f>+WEEKNUM('Score BD'!$H460)-WEEKNUM(DATE(YEAR('Score BD'!$H460),MONTH('Score BD'!$H460),1))+1</f>
        <v>0</v>
      </c>
    </row>
    <row r="461" spans="1:47" ht="17.45" customHeight="1" x14ac:dyDescent="0.3">
      <c r="A461" s="49" t="str">
        <f t="shared" si="77"/>
        <v xml:space="preserve"> </v>
      </c>
      <c r="B461" s="50">
        <f>+IFERROR(COUNTIF($J$3:J461,J461)," ")</f>
        <v>0</v>
      </c>
      <c r="C461" s="54" t="str">
        <f>+'Score BD'!$J461&amp;'Score BD'!$B461</f>
        <v>0</v>
      </c>
      <c r="D461" s="91" t="s">
        <v>148</v>
      </c>
      <c r="E461" s="92"/>
      <c r="F461" s="92"/>
      <c r="G461" s="60" t="str">
        <f t="shared" si="78"/>
        <v>Enero</v>
      </c>
      <c r="H461" s="67"/>
      <c r="I461" s="243"/>
      <c r="J461" s="57"/>
      <c r="K461" s="54" t="str">
        <f>IFERROR(VLOOKUP('Score BD'!$J461,Lista!A:B,2,0)," ")</f>
        <v xml:space="preserve"> </v>
      </c>
      <c r="L461" s="61"/>
      <c r="M461" s="59"/>
      <c r="N461" s="59"/>
      <c r="O461" s="59"/>
      <c r="P461" s="59"/>
      <c r="Q461" s="96">
        <f t="shared" si="79"/>
        <v>1</v>
      </c>
      <c r="R461" s="59"/>
      <c r="S461" s="59"/>
      <c r="T461" s="59"/>
      <c r="U461" s="59"/>
      <c r="V461" s="45">
        <f t="shared" si="80"/>
        <v>1</v>
      </c>
      <c r="W461" s="59"/>
      <c r="X461" s="59"/>
      <c r="Y461" s="59"/>
      <c r="Z461" s="59"/>
      <c r="AA461" s="59"/>
      <c r="AB461" s="59"/>
      <c r="AC461" s="45">
        <f t="shared" si="81"/>
        <v>1.000000000000002</v>
      </c>
      <c r="AD461" s="43"/>
      <c r="AE461" s="43"/>
      <c r="AF461" s="97">
        <f t="shared" si="82"/>
        <v>1</v>
      </c>
      <c r="AG461" s="44">
        <f t="shared" si="83"/>
        <v>1.0000000000000004</v>
      </c>
      <c r="AH461" s="55">
        <f t="shared" si="84"/>
        <v>0</v>
      </c>
      <c r="AI461" s="55">
        <f>COUNTIF('Score BD'!$M461:$P461,"no")</f>
        <v>0</v>
      </c>
      <c r="AJ461" s="55" t="str">
        <f t="shared" si="85"/>
        <v>-</v>
      </c>
      <c r="AK461" s="55" t="str">
        <f t="shared" si="86"/>
        <v>-</v>
      </c>
      <c r="AL461" s="55" t="str">
        <f t="shared" si="87"/>
        <v>-</v>
      </c>
      <c r="AM461" s="157"/>
      <c r="AN461" s="55"/>
      <c r="AO461" s="61"/>
      <c r="AP461" s="61"/>
      <c r="AQ461" s="59" t="str">
        <f>IFERROR(_xlfn.XLOOKUP(Tabla1[[#This Row],[Cedula agente]],Lista!$B$2:$B$97,Lista!$G$2:$G$97)," ")</f>
        <v xml:space="preserve"> </v>
      </c>
      <c r="AR461" s="59" t="s">
        <v>162</v>
      </c>
      <c r="AS461" s="55" t="str">
        <f>IFERROR(_xlfn.XLOOKUP(Tabla1[[#This Row],[Cedula agente]],Lista!$B$2:$B$97,Lista!$F$2:$F$97)," ")</f>
        <v xml:space="preserve"> </v>
      </c>
      <c r="AT461" s="99">
        <v>0.95</v>
      </c>
      <c r="AU461" s="200">
        <f>+WEEKNUM('Score BD'!$H461)-WEEKNUM(DATE(YEAR('Score BD'!$H461),MONTH('Score BD'!$H461),1))+1</f>
        <v>0</v>
      </c>
    </row>
    <row r="462" spans="1:47" ht="17.45" customHeight="1" x14ac:dyDescent="0.3">
      <c r="A462" s="49" t="str">
        <f t="shared" si="77"/>
        <v xml:space="preserve"> </v>
      </c>
      <c r="B462" s="50">
        <f>+IFERROR(COUNTIF($J$3:J462,J462)," ")</f>
        <v>0</v>
      </c>
      <c r="C462" s="54" t="str">
        <f>+'Score BD'!$J462&amp;'Score BD'!$B462</f>
        <v>0</v>
      </c>
      <c r="D462" s="91" t="s">
        <v>148</v>
      </c>
      <c r="E462" s="92"/>
      <c r="F462" s="92"/>
      <c r="G462" s="60" t="str">
        <f t="shared" si="78"/>
        <v>Enero</v>
      </c>
      <c r="H462" s="67"/>
      <c r="I462" s="243"/>
      <c r="J462" s="57"/>
      <c r="K462" s="54" t="str">
        <f>IFERROR(VLOOKUP('Score BD'!$J462,Lista!A:B,2,0)," ")</f>
        <v xml:space="preserve"> </v>
      </c>
      <c r="L462" s="61"/>
      <c r="M462" s="59"/>
      <c r="N462" s="59"/>
      <c r="O462" s="59"/>
      <c r="P462" s="59"/>
      <c r="Q462" s="96">
        <f t="shared" si="79"/>
        <v>1</v>
      </c>
      <c r="R462" s="59"/>
      <c r="S462" s="59"/>
      <c r="T462" s="59"/>
      <c r="U462" s="59"/>
      <c r="V462" s="45">
        <f t="shared" si="80"/>
        <v>1</v>
      </c>
      <c r="W462" s="59"/>
      <c r="X462" s="59"/>
      <c r="Y462" s="59"/>
      <c r="Z462" s="59"/>
      <c r="AA462" s="59"/>
      <c r="AB462" s="59"/>
      <c r="AC462" s="45">
        <f t="shared" si="81"/>
        <v>1.000000000000002</v>
      </c>
      <c r="AD462" s="43"/>
      <c r="AE462" s="43"/>
      <c r="AF462" s="97">
        <f t="shared" si="82"/>
        <v>1</v>
      </c>
      <c r="AG462" s="44">
        <f t="shared" si="83"/>
        <v>1.0000000000000004</v>
      </c>
      <c r="AH462" s="55">
        <f t="shared" si="84"/>
        <v>0</v>
      </c>
      <c r="AI462" s="55">
        <f>COUNTIF('Score BD'!$M462:$P462,"no")</f>
        <v>0</v>
      </c>
      <c r="AJ462" s="55" t="str">
        <f t="shared" si="85"/>
        <v>-</v>
      </c>
      <c r="AK462" s="55" t="str">
        <f t="shared" si="86"/>
        <v>-</v>
      </c>
      <c r="AL462" s="55" t="str">
        <f t="shared" si="87"/>
        <v>-</v>
      </c>
      <c r="AM462" s="157"/>
      <c r="AN462" s="55"/>
      <c r="AO462" s="61"/>
      <c r="AP462" s="61"/>
      <c r="AQ462" s="59" t="str">
        <f>IFERROR(_xlfn.XLOOKUP(Tabla1[[#This Row],[Cedula agente]],Lista!$B$2:$B$97,Lista!$G$2:$G$97)," ")</f>
        <v xml:space="preserve"> </v>
      </c>
      <c r="AR462" s="59" t="s">
        <v>162</v>
      </c>
      <c r="AS462" s="55" t="str">
        <f>IFERROR(_xlfn.XLOOKUP(Tabla1[[#This Row],[Cedula agente]],Lista!$B$2:$B$97,Lista!$F$2:$F$97)," ")</f>
        <v xml:space="preserve"> </v>
      </c>
      <c r="AT462" s="99">
        <v>0.95</v>
      </c>
      <c r="AU462" s="200">
        <f>+WEEKNUM('Score BD'!$H462)-WEEKNUM(DATE(YEAR('Score BD'!$H462),MONTH('Score BD'!$H462),1))+1</f>
        <v>0</v>
      </c>
    </row>
    <row r="463" spans="1:47" ht="17.45" customHeight="1" x14ac:dyDescent="0.3">
      <c r="A463" s="49" t="str">
        <f t="shared" si="77"/>
        <v xml:space="preserve"> </v>
      </c>
      <c r="B463" s="50">
        <f>+IFERROR(COUNTIF($J$3:J463,J463)," ")</f>
        <v>0</v>
      </c>
      <c r="C463" s="54" t="str">
        <f>+'Score BD'!$J463&amp;'Score BD'!$B463</f>
        <v>0</v>
      </c>
      <c r="D463" s="91" t="s">
        <v>148</v>
      </c>
      <c r="E463" s="92"/>
      <c r="F463" s="92"/>
      <c r="G463" s="60" t="str">
        <f t="shared" si="78"/>
        <v>Enero</v>
      </c>
      <c r="H463" s="67"/>
      <c r="I463" s="243"/>
      <c r="J463" s="57"/>
      <c r="K463" s="54" t="str">
        <f>IFERROR(VLOOKUP('Score BD'!$J463,Lista!A:B,2,0)," ")</f>
        <v xml:space="preserve"> </v>
      </c>
      <c r="L463" s="61"/>
      <c r="M463" s="59"/>
      <c r="N463" s="59"/>
      <c r="O463" s="59"/>
      <c r="P463" s="59"/>
      <c r="Q463" s="96">
        <f t="shared" si="79"/>
        <v>1</v>
      </c>
      <c r="R463" s="59"/>
      <c r="S463" s="59"/>
      <c r="T463" s="59"/>
      <c r="U463" s="59"/>
      <c r="V463" s="45">
        <f t="shared" si="80"/>
        <v>1</v>
      </c>
      <c r="W463" s="59"/>
      <c r="X463" s="59"/>
      <c r="Y463" s="59"/>
      <c r="Z463" s="59"/>
      <c r="AA463" s="59"/>
      <c r="AB463" s="59"/>
      <c r="AC463" s="45">
        <f t="shared" si="81"/>
        <v>1.000000000000002</v>
      </c>
      <c r="AD463" s="43"/>
      <c r="AE463" s="43"/>
      <c r="AF463" s="97">
        <f t="shared" si="82"/>
        <v>1</v>
      </c>
      <c r="AG463" s="44">
        <f t="shared" si="83"/>
        <v>1.0000000000000004</v>
      </c>
      <c r="AH463" s="55">
        <f t="shared" si="84"/>
        <v>0</v>
      </c>
      <c r="AI463" s="55">
        <f>COUNTIF('Score BD'!$M463:$P463,"no")</f>
        <v>0</v>
      </c>
      <c r="AJ463" s="55" t="str">
        <f t="shared" si="85"/>
        <v>-</v>
      </c>
      <c r="AK463" s="55" t="str">
        <f t="shared" si="86"/>
        <v>-</v>
      </c>
      <c r="AL463" s="55" t="str">
        <f t="shared" si="87"/>
        <v>-</v>
      </c>
      <c r="AM463" s="157"/>
      <c r="AN463" s="55"/>
      <c r="AO463" s="61"/>
      <c r="AP463" s="61"/>
      <c r="AQ463" s="59" t="str">
        <f>IFERROR(_xlfn.XLOOKUP(Tabla1[[#This Row],[Cedula agente]],Lista!$B$2:$B$97,Lista!$G$2:$G$97)," ")</f>
        <v xml:space="preserve"> </v>
      </c>
      <c r="AR463" s="59" t="s">
        <v>162</v>
      </c>
      <c r="AS463" s="55" t="str">
        <f>IFERROR(_xlfn.XLOOKUP(Tabla1[[#This Row],[Cedula agente]],Lista!$B$2:$B$97,Lista!$F$2:$F$97)," ")</f>
        <v xml:space="preserve"> </v>
      </c>
      <c r="AT463" s="99">
        <v>0.95</v>
      </c>
      <c r="AU463" s="200">
        <f>+WEEKNUM('Score BD'!$H463)-WEEKNUM(DATE(YEAR('Score BD'!$H463),MONTH('Score BD'!$H463),1))+1</f>
        <v>0</v>
      </c>
    </row>
    <row r="464" spans="1:47" ht="17.45" customHeight="1" x14ac:dyDescent="0.3">
      <c r="A464" s="49" t="str">
        <f t="shared" si="77"/>
        <v xml:space="preserve"> </v>
      </c>
      <c r="B464" s="50">
        <f>+IFERROR(COUNTIF($J$3:J464,J464)," ")</f>
        <v>0</v>
      </c>
      <c r="C464" s="54" t="str">
        <f>+'Score BD'!$J464&amp;'Score BD'!$B464</f>
        <v>0</v>
      </c>
      <c r="D464" s="91" t="s">
        <v>148</v>
      </c>
      <c r="E464" s="92"/>
      <c r="F464" s="92"/>
      <c r="G464" s="60" t="str">
        <f t="shared" si="78"/>
        <v>Enero</v>
      </c>
      <c r="H464" s="67"/>
      <c r="I464" s="243"/>
      <c r="J464" s="57"/>
      <c r="K464" s="54" t="str">
        <f>IFERROR(VLOOKUP('Score BD'!$J464,Lista!A:B,2,0)," ")</f>
        <v xml:space="preserve"> </v>
      </c>
      <c r="L464" s="61"/>
      <c r="M464" s="59"/>
      <c r="N464" s="59"/>
      <c r="O464" s="59"/>
      <c r="P464" s="59"/>
      <c r="Q464" s="96">
        <f t="shared" si="79"/>
        <v>1</v>
      </c>
      <c r="R464" s="59"/>
      <c r="S464" s="59"/>
      <c r="T464" s="59"/>
      <c r="U464" s="59"/>
      <c r="V464" s="45">
        <f t="shared" si="80"/>
        <v>1</v>
      </c>
      <c r="W464" s="59"/>
      <c r="X464" s="59"/>
      <c r="Y464" s="59"/>
      <c r="Z464" s="59"/>
      <c r="AA464" s="59"/>
      <c r="AB464" s="59"/>
      <c r="AC464" s="45">
        <f t="shared" si="81"/>
        <v>1.000000000000002</v>
      </c>
      <c r="AD464" s="43"/>
      <c r="AE464" s="43"/>
      <c r="AF464" s="97">
        <f t="shared" si="82"/>
        <v>1</v>
      </c>
      <c r="AG464" s="44">
        <f t="shared" si="83"/>
        <v>1.0000000000000004</v>
      </c>
      <c r="AH464" s="55">
        <f t="shared" si="84"/>
        <v>0</v>
      </c>
      <c r="AI464" s="55">
        <f>COUNTIF('Score BD'!$M464:$P464,"no")</f>
        <v>0</v>
      </c>
      <c r="AJ464" s="55" t="str">
        <f t="shared" si="85"/>
        <v>-</v>
      </c>
      <c r="AK464" s="55" t="str">
        <f t="shared" si="86"/>
        <v>-</v>
      </c>
      <c r="AL464" s="55" t="str">
        <f t="shared" si="87"/>
        <v>-</v>
      </c>
      <c r="AM464" s="157"/>
      <c r="AN464" s="55"/>
      <c r="AO464" s="61"/>
      <c r="AP464" s="61"/>
      <c r="AQ464" s="59" t="str">
        <f>IFERROR(_xlfn.XLOOKUP(Tabla1[[#This Row],[Cedula agente]],Lista!$B$2:$B$97,Lista!$G$2:$G$97)," ")</f>
        <v xml:space="preserve"> </v>
      </c>
      <c r="AR464" s="59" t="s">
        <v>162</v>
      </c>
      <c r="AS464" s="55" t="str">
        <f>IFERROR(_xlfn.XLOOKUP(Tabla1[[#This Row],[Cedula agente]],Lista!$B$2:$B$97,Lista!$F$2:$F$97)," ")</f>
        <v xml:space="preserve"> </v>
      </c>
      <c r="AT464" s="99">
        <v>0.95</v>
      </c>
      <c r="AU464" s="200">
        <f>+WEEKNUM('Score BD'!$H464)-WEEKNUM(DATE(YEAR('Score BD'!$H464),MONTH('Score BD'!$H464),1))+1</f>
        <v>0</v>
      </c>
    </row>
    <row r="465" spans="1:47" ht="17.45" customHeight="1" x14ac:dyDescent="0.3">
      <c r="A465" s="49" t="str">
        <f t="shared" si="77"/>
        <v xml:space="preserve"> </v>
      </c>
      <c r="B465" s="50">
        <f>+IFERROR(COUNTIF($J$3:J465,J465)," ")</f>
        <v>0</v>
      </c>
      <c r="C465" s="54" t="str">
        <f>+'Score BD'!$J465&amp;'Score BD'!$B465</f>
        <v>0</v>
      </c>
      <c r="D465" s="91" t="s">
        <v>148</v>
      </c>
      <c r="E465" s="92"/>
      <c r="F465" s="92"/>
      <c r="G465" s="60" t="str">
        <f t="shared" si="78"/>
        <v>Enero</v>
      </c>
      <c r="H465" s="67"/>
      <c r="I465" s="243"/>
      <c r="J465" s="57"/>
      <c r="K465" s="54" t="str">
        <f>IFERROR(VLOOKUP('Score BD'!$J465,Lista!A:B,2,0)," ")</f>
        <v xml:space="preserve"> </v>
      </c>
      <c r="L465" s="61"/>
      <c r="M465" s="59"/>
      <c r="N465" s="59"/>
      <c r="O465" s="59"/>
      <c r="P465" s="59"/>
      <c r="Q465" s="96">
        <f t="shared" si="79"/>
        <v>1</v>
      </c>
      <c r="R465" s="59"/>
      <c r="S465" s="59"/>
      <c r="T465" s="59"/>
      <c r="U465" s="59"/>
      <c r="V465" s="45">
        <f t="shared" si="80"/>
        <v>1</v>
      </c>
      <c r="W465" s="59"/>
      <c r="X465" s="59"/>
      <c r="Y465" s="59"/>
      <c r="Z465" s="59"/>
      <c r="AA465" s="59"/>
      <c r="AB465" s="59"/>
      <c r="AC465" s="45">
        <f t="shared" si="81"/>
        <v>1.000000000000002</v>
      </c>
      <c r="AD465" s="43"/>
      <c r="AE465" s="43"/>
      <c r="AF465" s="97">
        <f t="shared" si="82"/>
        <v>1</v>
      </c>
      <c r="AG465" s="44">
        <f t="shared" si="83"/>
        <v>1.0000000000000004</v>
      </c>
      <c r="AH465" s="55">
        <f t="shared" si="84"/>
        <v>0</v>
      </c>
      <c r="AI465" s="55">
        <f>COUNTIF('Score BD'!$M465:$P465,"no")</f>
        <v>0</v>
      </c>
      <c r="AJ465" s="55" t="str">
        <f t="shared" si="85"/>
        <v>-</v>
      </c>
      <c r="AK465" s="55" t="str">
        <f t="shared" si="86"/>
        <v>-</v>
      </c>
      <c r="AL465" s="55" t="str">
        <f t="shared" si="87"/>
        <v>-</v>
      </c>
      <c r="AM465" s="157"/>
      <c r="AN465" s="55"/>
      <c r="AO465" s="61"/>
      <c r="AP465" s="61"/>
      <c r="AQ465" s="59" t="str">
        <f>IFERROR(_xlfn.XLOOKUP(Tabla1[[#This Row],[Cedula agente]],Lista!$B$2:$B$97,Lista!$G$2:$G$97)," ")</f>
        <v xml:space="preserve"> </v>
      </c>
      <c r="AR465" s="59" t="s">
        <v>162</v>
      </c>
      <c r="AS465" s="55" t="str">
        <f>IFERROR(_xlfn.XLOOKUP(Tabla1[[#This Row],[Cedula agente]],Lista!$B$2:$B$97,Lista!$F$2:$F$97)," ")</f>
        <v xml:space="preserve"> </v>
      </c>
      <c r="AT465" s="99">
        <v>0.95</v>
      </c>
      <c r="AU465" s="200">
        <f>+WEEKNUM('Score BD'!$H465)-WEEKNUM(DATE(YEAR('Score BD'!$H465),MONTH('Score BD'!$H465),1))+1</f>
        <v>0</v>
      </c>
    </row>
    <row r="466" spans="1:47" ht="17.45" customHeight="1" x14ac:dyDescent="0.3">
      <c r="A466" s="49" t="str">
        <f t="shared" si="77"/>
        <v xml:space="preserve"> </v>
      </c>
      <c r="B466" s="50">
        <f>+IFERROR(COUNTIF($J$3:J466,J466)," ")</f>
        <v>0</v>
      </c>
      <c r="C466" s="54" t="str">
        <f>+'Score BD'!$J466&amp;'Score BD'!$B466</f>
        <v>0</v>
      </c>
      <c r="D466" s="91" t="s">
        <v>148</v>
      </c>
      <c r="E466" s="92"/>
      <c r="F466" s="92"/>
      <c r="G466" s="60" t="str">
        <f t="shared" si="78"/>
        <v>Enero</v>
      </c>
      <c r="H466" s="67"/>
      <c r="I466" s="243"/>
      <c r="J466" s="57"/>
      <c r="K466" s="54" t="str">
        <f>IFERROR(VLOOKUP('Score BD'!$J466,Lista!A:B,2,0)," ")</f>
        <v xml:space="preserve"> </v>
      </c>
      <c r="L466" s="61"/>
      <c r="M466" s="59"/>
      <c r="N466" s="59"/>
      <c r="O466" s="59"/>
      <c r="P466" s="59"/>
      <c r="Q466" s="96">
        <f t="shared" si="79"/>
        <v>1</v>
      </c>
      <c r="R466" s="59"/>
      <c r="S466" s="59"/>
      <c r="T466" s="59"/>
      <c r="U466" s="59"/>
      <c r="V466" s="45">
        <f t="shared" si="80"/>
        <v>1</v>
      </c>
      <c r="W466" s="59"/>
      <c r="X466" s="59"/>
      <c r="Y466" s="59"/>
      <c r="Z466" s="59"/>
      <c r="AA466" s="59"/>
      <c r="AB466" s="59"/>
      <c r="AC466" s="45">
        <f t="shared" si="81"/>
        <v>1.000000000000002</v>
      </c>
      <c r="AD466" s="43"/>
      <c r="AE466" s="43"/>
      <c r="AF466" s="97">
        <f t="shared" si="82"/>
        <v>1</v>
      </c>
      <c r="AG466" s="44">
        <f t="shared" si="83"/>
        <v>1.0000000000000004</v>
      </c>
      <c r="AH466" s="55">
        <f t="shared" si="84"/>
        <v>0</v>
      </c>
      <c r="AI466" s="55">
        <f>COUNTIF('Score BD'!$M466:$P466,"no")</f>
        <v>0</v>
      </c>
      <c r="AJ466" s="55" t="str">
        <f t="shared" si="85"/>
        <v>-</v>
      </c>
      <c r="AK466" s="55" t="str">
        <f t="shared" si="86"/>
        <v>-</v>
      </c>
      <c r="AL466" s="55" t="str">
        <f t="shared" si="87"/>
        <v>-</v>
      </c>
      <c r="AM466" s="157"/>
      <c r="AN466" s="55"/>
      <c r="AO466" s="61"/>
      <c r="AP466" s="61"/>
      <c r="AQ466" s="59" t="str">
        <f>IFERROR(_xlfn.XLOOKUP(Tabla1[[#This Row],[Cedula agente]],Lista!$B$2:$B$97,Lista!$G$2:$G$97)," ")</f>
        <v xml:space="preserve"> </v>
      </c>
      <c r="AR466" s="59" t="s">
        <v>162</v>
      </c>
      <c r="AS466" s="55" t="str">
        <f>IFERROR(_xlfn.XLOOKUP(Tabla1[[#This Row],[Cedula agente]],Lista!$B$2:$B$97,Lista!$F$2:$F$97)," ")</f>
        <v xml:space="preserve"> </v>
      </c>
      <c r="AT466" s="99">
        <v>0.95</v>
      </c>
      <c r="AU466" s="200">
        <f>+WEEKNUM('Score BD'!$H466)-WEEKNUM(DATE(YEAR('Score BD'!$H466),MONTH('Score BD'!$H466),1))+1</f>
        <v>0</v>
      </c>
    </row>
    <row r="467" spans="1:47" ht="17.45" customHeight="1" x14ac:dyDescent="0.3">
      <c r="A467" s="49" t="str">
        <f t="shared" si="77"/>
        <v xml:space="preserve"> </v>
      </c>
      <c r="B467" s="50">
        <f>+IFERROR(COUNTIF($J$3:J467,J467)," ")</f>
        <v>0</v>
      </c>
      <c r="C467" s="54" t="str">
        <f>+'Score BD'!$J467&amp;'Score BD'!$B467</f>
        <v>0</v>
      </c>
      <c r="D467" s="91" t="s">
        <v>148</v>
      </c>
      <c r="E467" s="92"/>
      <c r="F467" s="92"/>
      <c r="G467" s="60" t="str">
        <f t="shared" si="78"/>
        <v>Enero</v>
      </c>
      <c r="H467" s="67"/>
      <c r="I467" s="243"/>
      <c r="J467" s="57"/>
      <c r="K467" s="54" t="str">
        <f>IFERROR(VLOOKUP('Score BD'!$J467,Lista!A:B,2,0)," ")</f>
        <v xml:space="preserve"> </v>
      </c>
      <c r="L467" s="61"/>
      <c r="M467" s="59"/>
      <c r="N467" s="59"/>
      <c r="O467" s="59"/>
      <c r="P467" s="59"/>
      <c r="Q467" s="96">
        <f t="shared" si="79"/>
        <v>1</v>
      </c>
      <c r="R467" s="59"/>
      <c r="S467" s="59"/>
      <c r="T467" s="59"/>
      <c r="U467" s="59"/>
      <c r="V467" s="45">
        <f t="shared" si="80"/>
        <v>1</v>
      </c>
      <c r="W467" s="59"/>
      <c r="X467" s="59"/>
      <c r="Y467" s="59"/>
      <c r="Z467" s="59"/>
      <c r="AA467" s="59"/>
      <c r="AB467" s="59"/>
      <c r="AC467" s="45">
        <f t="shared" si="81"/>
        <v>1.000000000000002</v>
      </c>
      <c r="AD467" s="43"/>
      <c r="AE467" s="43"/>
      <c r="AF467" s="97">
        <f t="shared" si="82"/>
        <v>1</v>
      </c>
      <c r="AG467" s="44">
        <f t="shared" si="83"/>
        <v>1.0000000000000004</v>
      </c>
      <c r="AH467" s="55">
        <f t="shared" si="84"/>
        <v>0</v>
      </c>
      <c r="AI467" s="55">
        <f>COUNTIF('Score BD'!$M467:$P467,"no")</f>
        <v>0</v>
      </c>
      <c r="AJ467" s="55" t="str">
        <f t="shared" si="85"/>
        <v>-</v>
      </c>
      <c r="AK467" s="55" t="str">
        <f t="shared" si="86"/>
        <v>-</v>
      </c>
      <c r="AL467" s="55" t="str">
        <f t="shared" si="87"/>
        <v>-</v>
      </c>
      <c r="AM467" s="157"/>
      <c r="AN467" s="55"/>
      <c r="AO467" s="61"/>
      <c r="AP467" s="61"/>
      <c r="AQ467" s="59" t="str">
        <f>IFERROR(_xlfn.XLOOKUP(Tabla1[[#This Row],[Cedula agente]],Lista!$B$2:$B$97,Lista!$G$2:$G$97)," ")</f>
        <v xml:space="preserve"> </v>
      </c>
      <c r="AR467" s="59" t="s">
        <v>162</v>
      </c>
      <c r="AS467" s="55" t="str">
        <f>IFERROR(_xlfn.XLOOKUP(Tabla1[[#This Row],[Cedula agente]],Lista!$B$2:$B$97,Lista!$F$2:$F$97)," ")</f>
        <v xml:space="preserve"> </v>
      </c>
      <c r="AT467" s="99">
        <v>0.95</v>
      </c>
      <c r="AU467" s="200">
        <f>+WEEKNUM('Score BD'!$H467)-WEEKNUM(DATE(YEAR('Score BD'!$H467),MONTH('Score BD'!$H467),1))+1</f>
        <v>0</v>
      </c>
    </row>
    <row r="468" spans="1:47" ht="17.45" customHeight="1" x14ac:dyDescent="0.3">
      <c r="A468" s="49" t="str">
        <f t="shared" si="77"/>
        <v xml:space="preserve"> </v>
      </c>
      <c r="B468" s="50">
        <f>+IFERROR(COUNTIF($J$3:J468,J468)," ")</f>
        <v>0</v>
      </c>
      <c r="C468" s="54" t="str">
        <f>+'Score BD'!$J468&amp;'Score BD'!$B468</f>
        <v>0</v>
      </c>
      <c r="D468" s="91" t="s">
        <v>148</v>
      </c>
      <c r="E468" s="92"/>
      <c r="F468" s="92"/>
      <c r="G468" s="60" t="str">
        <f t="shared" si="78"/>
        <v>Enero</v>
      </c>
      <c r="H468" s="67"/>
      <c r="I468" s="243"/>
      <c r="J468" s="57"/>
      <c r="K468" s="54" t="str">
        <f>IFERROR(VLOOKUP('Score BD'!$J468,Lista!A:B,2,0)," ")</f>
        <v xml:space="preserve"> </v>
      </c>
      <c r="L468" s="61"/>
      <c r="M468" s="59"/>
      <c r="N468" s="59"/>
      <c r="O468" s="59"/>
      <c r="P468" s="59"/>
      <c r="Q468" s="96">
        <f t="shared" si="79"/>
        <v>1</v>
      </c>
      <c r="R468" s="59"/>
      <c r="S468" s="59"/>
      <c r="T468" s="59"/>
      <c r="U468" s="59"/>
      <c r="V468" s="45">
        <f t="shared" si="80"/>
        <v>1</v>
      </c>
      <c r="W468" s="59"/>
      <c r="X468" s="59"/>
      <c r="Y468" s="59"/>
      <c r="Z468" s="59"/>
      <c r="AA468" s="59"/>
      <c r="AB468" s="59"/>
      <c r="AC468" s="45">
        <f t="shared" si="81"/>
        <v>1.000000000000002</v>
      </c>
      <c r="AD468" s="43"/>
      <c r="AE468" s="43"/>
      <c r="AF468" s="97">
        <f t="shared" si="82"/>
        <v>1</v>
      </c>
      <c r="AG468" s="44">
        <f t="shared" si="83"/>
        <v>1.0000000000000004</v>
      </c>
      <c r="AH468" s="55">
        <f t="shared" si="84"/>
        <v>0</v>
      </c>
      <c r="AI468" s="55">
        <f>COUNTIF('Score BD'!$M468:$P468,"no")</f>
        <v>0</v>
      </c>
      <c r="AJ468" s="55" t="str">
        <f t="shared" si="85"/>
        <v>-</v>
      </c>
      <c r="AK468" s="55" t="str">
        <f t="shared" si="86"/>
        <v>-</v>
      </c>
      <c r="AL468" s="55" t="str">
        <f t="shared" si="87"/>
        <v>-</v>
      </c>
      <c r="AM468" s="157"/>
      <c r="AN468" s="55"/>
      <c r="AO468" s="61"/>
      <c r="AP468" s="61"/>
      <c r="AQ468" s="59" t="str">
        <f>IFERROR(_xlfn.XLOOKUP(Tabla1[[#This Row],[Cedula agente]],Lista!$B$2:$B$97,Lista!$G$2:$G$97)," ")</f>
        <v xml:space="preserve"> </v>
      </c>
      <c r="AR468" s="59" t="s">
        <v>162</v>
      </c>
      <c r="AS468" s="55" t="str">
        <f>IFERROR(_xlfn.XLOOKUP(Tabla1[[#This Row],[Cedula agente]],Lista!$B$2:$B$97,Lista!$F$2:$F$97)," ")</f>
        <v xml:space="preserve"> </v>
      </c>
      <c r="AT468" s="99">
        <v>0.95</v>
      </c>
      <c r="AU468" s="200">
        <f>+WEEKNUM('Score BD'!$H468)-WEEKNUM(DATE(YEAR('Score BD'!$H468),MONTH('Score BD'!$H468),1))+1</f>
        <v>0</v>
      </c>
    </row>
    <row r="469" spans="1:47" ht="17.45" customHeight="1" x14ac:dyDescent="0.3">
      <c r="A469" s="49" t="str">
        <f t="shared" si="77"/>
        <v xml:space="preserve"> </v>
      </c>
      <c r="B469" s="50">
        <f>+IFERROR(COUNTIF($J$3:J469,J469)," ")</f>
        <v>0</v>
      </c>
      <c r="C469" s="54" t="str">
        <f>+'Score BD'!$J469&amp;'Score BD'!$B469</f>
        <v>0</v>
      </c>
      <c r="D469" s="91" t="s">
        <v>148</v>
      </c>
      <c r="E469" s="92"/>
      <c r="F469" s="92"/>
      <c r="G469" s="60" t="str">
        <f t="shared" si="78"/>
        <v>Enero</v>
      </c>
      <c r="H469" s="67"/>
      <c r="I469" s="243"/>
      <c r="J469" s="57"/>
      <c r="K469" s="54" t="str">
        <f>IFERROR(VLOOKUP('Score BD'!$J469,Lista!A:B,2,0)," ")</f>
        <v xml:space="preserve"> </v>
      </c>
      <c r="L469" s="61"/>
      <c r="M469" s="59"/>
      <c r="N469" s="59"/>
      <c r="O469" s="59"/>
      <c r="P469" s="59"/>
      <c r="Q469" s="96">
        <f t="shared" si="79"/>
        <v>1</v>
      </c>
      <c r="R469" s="59"/>
      <c r="S469" s="59"/>
      <c r="T469" s="59"/>
      <c r="U469" s="59"/>
      <c r="V469" s="45">
        <f t="shared" si="80"/>
        <v>1</v>
      </c>
      <c r="W469" s="59"/>
      <c r="X469" s="59"/>
      <c r="Y469" s="59"/>
      <c r="Z469" s="59"/>
      <c r="AA469" s="59"/>
      <c r="AB469" s="59"/>
      <c r="AC469" s="45">
        <f t="shared" si="81"/>
        <v>1.000000000000002</v>
      </c>
      <c r="AD469" s="43"/>
      <c r="AE469" s="43"/>
      <c r="AF469" s="97">
        <f t="shared" si="82"/>
        <v>1</v>
      </c>
      <c r="AG469" s="44">
        <f t="shared" si="83"/>
        <v>1.0000000000000004</v>
      </c>
      <c r="AH469" s="55">
        <f t="shared" si="84"/>
        <v>0</v>
      </c>
      <c r="AI469" s="55">
        <f>COUNTIF('Score BD'!$M469:$P469,"no")</f>
        <v>0</v>
      </c>
      <c r="AJ469" s="55" t="str">
        <f t="shared" si="85"/>
        <v>-</v>
      </c>
      <c r="AK469" s="55" t="str">
        <f t="shared" si="86"/>
        <v>-</v>
      </c>
      <c r="AL469" s="55" t="str">
        <f t="shared" si="87"/>
        <v>-</v>
      </c>
      <c r="AM469" s="157"/>
      <c r="AN469" s="55"/>
      <c r="AO469" s="61"/>
      <c r="AP469" s="61"/>
      <c r="AQ469" s="59" t="str">
        <f>IFERROR(_xlfn.XLOOKUP(Tabla1[[#This Row],[Cedula agente]],Lista!$B$2:$B$97,Lista!$G$2:$G$97)," ")</f>
        <v xml:space="preserve"> </v>
      </c>
      <c r="AR469" s="59" t="s">
        <v>162</v>
      </c>
      <c r="AS469" s="55" t="str">
        <f>IFERROR(_xlfn.XLOOKUP(Tabla1[[#This Row],[Cedula agente]],Lista!$B$2:$B$97,Lista!$F$2:$F$97)," ")</f>
        <v xml:space="preserve"> </v>
      </c>
      <c r="AT469" s="99">
        <v>0.95</v>
      </c>
      <c r="AU469" s="200">
        <f>+WEEKNUM('Score BD'!$H469)-WEEKNUM(DATE(YEAR('Score BD'!$H469),MONTH('Score BD'!$H469),1))+1</f>
        <v>0</v>
      </c>
    </row>
    <row r="470" spans="1:47" ht="17.45" customHeight="1" x14ac:dyDescent="0.3">
      <c r="A470" s="49" t="str">
        <f t="shared" si="77"/>
        <v xml:space="preserve"> </v>
      </c>
      <c r="B470" s="50">
        <f>+IFERROR(COUNTIF($J$3:J470,J470)," ")</f>
        <v>0</v>
      </c>
      <c r="C470" s="54" t="str">
        <f>+'Score BD'!$J470&amp;'Score BD'!$B470</f>
        <v>0</v>
      </c>
      <c r="D470" s="91" t="s">
        <v>148</v>
      </c>
      <c r="E470" s="92"/>
      <c r="F470" s="92"/>
      <c r="G470" s="60" t="str">
        <f t="shared" si="78"/>
        <v>Enero</v>
      </c>
      <c r="H470" s="67"/>
      <c r="I470" s="243"/>
      <c r="J470" s="57"/>
      <c r="K470" s="54" t="str">
        <f>IFERROR(VLOOKUP('Score BD'!$J470,Lista!A:B,2,0)," ")</f>
        <v xml:space="preserve"> </v>
      </c>
      <c r="L470" s="61"/>
      <c r="M470" s="59"/>
      <c r="N470" s="59"/>
      <c r="O470" s="59"/>
      <c r="P470" s="59"/>
      <c r="Q470" s="96">
        <f t="shared" si="79"/>
        <v>1</v>
      </c>
      <c r="R470" s="59"/>
      <c r="S470" s="59"/>
      <c r="T470" s="59"/>
      <c r="U470" s="59"/>
      <c r="V470" s="45">
        <f t="shared" si="80"/>
        <v>1</v>
      </c>
      <c r="W470" s="59"/>
      <c r="X470" s="59"/>
      <c r="Y470" s="59"/>
      <c r="Z470" s="59"/>
      <c r="AA470" s="59"/>
      <c r="AB470" s="59"/>
      <c r="AC470" s="45">
        <f t="shared" si="81"/>
        <v>1.000000000000002</v>
      </c>
      <c r="AD470" s="43"/>
      <c r="AE470" s="43"/>
      <c r="AF470" s="97">
        <f t="shared" si="82"/>
        <v>1</v>
      </c>
      <c r="AG470" s="44">
        <f t="shared" si="83"/>
        <v>1.0000000000000004</v>
      </c>
      <c r="AH470" s="55">
        <f t="shared" si="84"/>
        <v>0</v>
      </c>
      <c r="AI470" s="55">
        <f>COUNTIF('Score BD'!$M470:$P470,"no")</f>
        <v>0</v>
      </c>
      <c r="AJ470" s="55" t="str">
        <f t="shared" si="85"/>
        <v>-</v>
      </c>
      <c r="AK470" s="55" t="str">
        <f t="shared" si="86"/>
        <v>-</v>
      </c>
      <c r="AL470" s="55" t="str">
        <f t="shared" si="87"/>
        <v>-</v>
      </c>
      <c r="AM470" s="157"/>
      <c r="AN470" s="55"/>
      <c r="AO470" s="61"/>
      <c r="AP470" s="61"/>
      <c r="AQ470" s="59" t="str">
        <f>IFERROR(_xlfn.XLOOKUP(Tabla1[[#This Row],[Cedula agente]],Lista!$B$2:$B$97,Lista!$G$2:$G$97)," ")</f>
        <v xml:space="preserve"> </v>
      </c>
      <c r="AR470" s="59" t="s">
        <v>162</v>
      </c>
      <c r="AS470" s="55" t="str">
        <f>IFERROR(_xlfn.XLOOKUP(Tabla1[[#This Row],[Cedula agente]],Lista!$B$2:$B$97,Lista!$F$2:$F$97)," ")</f>
        <v xml:space="preserve"> </v>
      </c>
      <c r="AT470" s="99">
        <v>0.95</v>
      </c>
      <c r="AU470" s="200">
        <f>+WEEKNUM('Score BD'!$H470)-WEEKNUM(DATE(YEAR('Score BD'!$H470),MONTH('Score BD'!$H470),1))+1</f>
        <v>0</v>
      </c>
    </row>
    <row r="471" spans="1:47" ht="17.45" customHeight="1" x14ac:dyDescent="0.3">
      <c r="A471" s="49" t="str">
        <f t="shared" si="77"/>
        <v xml:space="preserve"> </v>
      </c>
      <c r="B471" s="50">
        <f>+IFERROR(COUNTIF($J$3:J471,J471)," ")</f>
        <v>0</v>
      </c>
      <c r="C471" s="54" t="str">
        <f>+'Score BD'!$J471&amp;'Score BD'!$B471</f>
        <v>0</v>
      </c>
      <c r="D471" s="91" t="s">
        <v>148</v>
      </c>
      <c r="E471" s="92"/>
      <c r="F471" s="92"/>
      <c r="G471" s="60" t="str">
        <f t="shared" si="78"/>
        <v>Enero</v>
      </c>
      <c r="H471" s="67"/>
      <c r="I471" s="243"/>
      <c r="J471" s="57"/>
      <c r="K471" s="54" t="str">
        <f>IFERROR(VLOOKUP('Score BD'!$J471,Lista!A:B,2,0)," ")</f>
        <v xml:space="preserve"> </v>
      </c>
      <c r="L471" s="61"/>
      <c r="M471" s="59"/>
      <c r="N471" s="59"/>
      <c r="O471" s="59"/>
      <c r="P471" s="59"/>
      <c r="Q471" s="96">
        <f t="shared" si="79"/>
        <v>1</v>
      </c>
      <c r="R471" s="59"/>
      <c r="S471" s="59"/>
      <c r="T471" s="59"/>
      <c r="U471" s="59"/>
      <c r="V471" s="45">
        <f t="shared" si="80"/>
        <v>1</v>
      </c>
      <c r="W471" s="59"/>
      <c r="X471" s="59"/>
      <c r="Y471" s="59"/>
      <c r="Z471" s="59"/>
      <c r="AA471" s="59"/>
      <c r="AB471" s="59"/>
      <c r="AC471" s="45">
        <f t="shared" si="81"/>
        <v>1.000000000000002</v>
      </c>
      <c r="AD471" s="43"/>
      <c r="AE471" s="43"/>
      <c r="AF471" s="97">
        <f t="shared" si="82"/>
        <v>1</v>
      </c>
      <c r="AG471" s="44">
        <f t="shared" si="83"/>
        <v>1.0000000000000004</v>
      </c>
      <c r="AH471" s="55">
        <f t="shared" si="84"/>
        <v>0</v>
      </c>
      <c r="AI471" s="55">
        <f>COUNTIF('Score BD'!$M471:$P471,"no")</f>
        <v>0</v>
      </c>
      <c r="AJ471" s="55" t="str">
        <f t="shared" si="85"/>
        <v>-</v>
      </c>
      <c r="AK471" s="55" t="str">
        <f t="shared" si="86"/>
        <v>-</v>
      </c>
      <c r="AL471" s="55" t="str">
        <f t="shared" si="87"/>
        <v>-</v>
      </c>
      <c r="AM471" s="157"/>
      <c r="AN471" s="55"/>
      <c r="AO471" s="61"/>
      <c r="AP471" s="61"/>
      <c r="AQ471" s="59" t="str">
        <f>IFERROR(_xlfn.XLOOKUP(Tabla1[[#This Row],[Cedula agente]],Lista!$B$2:$B$97,Lista!$G$2:$G$97)," ")</f>
        <v xml:space="preserve"> </v>
      </c>
      <c r="AR471" s="59" t="s">
        <v>162</v>
      </c>
      <c r="AS471" s="55" t="str">
        <f>IFERROR(_xlfn.XLOOKUP(Tabla1[[#This Row],[Cedula agente]],Lista!$B$2:$B$97,Lista!$F$2:$F$97)," ")</f>
        <v xml:space="preserve"> </v>
      </c>
      <c r="AT471" s="99">
        <v>0.95</v>
      </c>
      <c r="AU471" s="200">
        <f>+WEEKNUM('Score BD'!$H471)-WEEKNUM(DATE(YEAR('Score BD'!$H471),MONTH('Score BD'!$H471),1))+1</f>
        <v>0</v>
      </c>
    </row>
    <row r="472" spans="1:47" ht="17.45" customHeight="1" x14ac:dyDescent="0.3">
      <c r="A472" s="49" t="str">
        <f t="shared" si="77"/>
        <v xml:space="preserve"> </v>
      </c>
      <c r="B472" s="50">
        <f>+IFERROR(COUNTIF($J$3:J472,J472)," ")</f>
        <v>0</v>
      </c>
      <c r="C472" s="54" t="str">
        <f>+'Score BD'!$J472&amp;'Score BD'!$B472</f>
        <v>0</v>
      </c>
      <c r="D472" s="91" t="s">
        <v>148</v>
      </c>
      <c r="E472" s="92"/>
      <c r="F472" s="92"/>
      <c r="G472" s="60" t="str">
        <f t="shared" si="78"/>
        <v>Enero</v>
      </c>
      <c r="H472" s="67"/>
      <c r="I472" s="243"/>
      <c r="J472" s="57"/>
      <c r="K472" s="54" t="str">
        <f>IFERROR(VLOOKUP('Score BD'!$J472,Lista!A:B,2,0)," ")</f>
        <v xml:space="preserve"> </v>
      </c>
      <c r="L472" s="61"/>
      <c r="M472" s="59"/>
      <c r="N472" s="59"/>
      <c r="O472" s="59"/>
      <c r="P472" s="59"/>
      <c r="Q472" s="96">
        <f t="shared" si="79"/>
        <v>1</v>
      </c>
      <c r="R472" s="59"/>
      <c r="S472" s="59"/>
      <c r="T472" s="59"/>
      <c r="U472" s="59"/>
      <c r="V472" s="45">
        <f t="shared" si="80"/>
        <v>1</v>
      </c>
      <c r="W472" s="59"/>
      <c r="X472" s="59"/>
      <c r="Y472" s="59"/>
      <c r="Z472" s="59"/>
      <c r="AA472" s="59"/>
      <c r="AB472" s="59"/>
      <c r="AC472" s="45">
        <f t="shared" si="81"/>
        <v>1.000000000000002</v>
      </c>
      <c r="AD472" s="43"/>
      <c r="AE472" s="43"/>
      <c r="AF472" s="97">
        <f t="shared" si="82"/>
        <v>1</v>
      </c>
      <c r="AG472" s="44">
        <f t="shared" si="83"/>
        <v>1.0000000000000004</v>
      </c>
      <c r="AH472" s="55">
        <f t="shared" si="84"/>
        <v>0</v>
      </c>
      <c r="AI472" s="55">
        <f>COUNTIF('Score BD'!$M472:$P472,"no")</f>
        <v>0</v>
      </c>
      <c r="AJ472" s="55" t="str">
        <f t="shared" si="85"/>
        <v>-</v>
      </c>
      <c r="AK472" s="55" t="str">
        <f t="shared" si="86"/>
        <v>-</v>
      </c>
      <c r="AL472" s="55" t="str">
        <f t="shared" si="87"/>
        <v>-</v>
      </c>
      <c r="AM472" s="157"/>
      <c r="AN472" s="55"/>
      <c r="AO472" s="61"/>
      <c r="AP472" s="61"/>
      <c r="AQ472" s="59" t="str">
        <f>IFERROR(_xlfn.XLOOKUP(Tabla1[[#This Row],[Cedula agente]],Lista!$B$2:$B$97,Lista!$G$2:$G$97)," ")</f>
        <v xml:space="preserve"> </v>
      </c>
      <c r="AR472" s="59" t="s">
        <v>162</v>
      </c>
      <c r="AS472" s="55" t="str">
        <f>IFERROR(_xlfn.XLOOKUP(Tabla1[[#This Row],[Cedula agente]],Lista!$B$2:$B$97,Lista!$F$2:$F$97)," ")</f>
        <v xml:space="preserve"> </v>
      </c>
      <c r="AT472" s="99">
        <v>0.95</v>
      </c>
      <c r="AU472" s="200">
        <f>+WEEKNUM('Score BD'!$H472)-WEEKNUM(DATE(YEAR('Score BD'!$H472),MONTH('Score BD'!$H472),1))+1</f>
        <v>0</v>
      </c>
    </row>
    <row r="473" spans="1:47" ht="17.45" customHeight="1" x14ac:dyDescent="0.3">
      <c r="A473" s="49" t="str">
        <f t="shared" si="77"/>
        <v xml:space="preserve"> </v>
      </c>
      <c r="B473" s="50">
        <f>+IFERROR(COUNTIF($J$3:J473,J473)," ")</f>
        <v>0</v>
      </c>
      <c r="C473" s="54" t="str">
        <f>+'Score BD'!$J473&amp;'Score BD'!$B473</f>
        <v>0</v>
      </c>
      <c r="D473" s="91" t="s">
        <v>148</v>
      </c>
      <c r="E473" s="92"/>
      <c r="F473" s="92"/>
      <c r="G473" s="60" t="str">
        <f t="shared" si="78"/>
        <v>Enero</v>
      </c>
      <c r="H473" s="67"/>
      <c r="I473" s="243"/>
      <c r="J473" s="57"/>
      <c r="K473" s="54" t="str">
        <f>IFERROR(VLOOKUP('Score BD'!$J473,Lista!A:B,2,0)," ")</f>
        <v xml:space="preserve"> </v>
      </c>
      <c r="L473" s="61"/>
      <c r="M473" s="59"/>
      <c r="N473" s="59"/>
      <c r="O473" s="59"/>
      <c r="P473" s="59"/>
      <c r="Q473" s="96">
        <f t="shared" si="79"/>
        <v>1</v>
      </c>
      <c r="R473" s="59"/>
      <c r="S473" s="59"/>
      <c r="T473" s="59"/>
      <c r="U473" s="59"/>
      <c r="V473" s="45">
        <f t="shared" si="80"/>
        <v>1</v>
      </c>
      <c r="W473" s="59"/>
      <c r="X473" s="59"/>
      <c r="Y473" s="59"/>
      <c r="Z473" s="59"/>
      <c r="AA473" s="59"/>
      <c r="AB473" s="59"/>
      <c r="AC473" s="45">
        <f t="shared" si="81"/>
        <v>1.000000000000002</v>
      </c>
      <c r="AD473" s="43"/>
      <c r="AE473" s="43"/>
      <c r="AF473" s="97">
        <f t="shared" si="82"/>
        <v>1</v>
      </c>
      <c r="AG473" s="44">
        <f t="shared" si="83"/>
        <v>1.0000000000000004</v>
      </c>
      <c r="AH473" s="55">
        <f t="shared" si="84"/>
        <v>0</v>
      </c>
      <c r="AI473" s="55">
        <f>COUNTIF('Score BD'!$M473:$P473,"no")</f>
        <v>0</v>
      </c>
      <c r="AJ473" s="55" t="str">
        <f t="shared" si="85"/>
        <v>-</v>
      </c>
      <c r="AK473" s="55" t="str">
        <f t="shared" si="86"/>
        <v>-</v>
      </c>
      <c r="AL473" s="55" t="str">
        <f t="shared" si="87"/>
        <v>-</v>
      </c>
      <c r="AM473" s="157"/>
      <c r="AN473" s="55"/>
      <c r="AO473" s="61"/>
      <c r="AP473" s="61"/>
      <c r="AQ473" s="59" t="str">
        <f>IFERROR(_xlfn.XLOOKUP(Tabla1[[#This Row],[Cedula agente]],Lista!$B$2:$B$97,Lista!$G$2:$G$97)," ")</f>
        <v xml:space="preserve"> </v>
      </c>
      <c r="AR473" s="59" t="s">
        <v>162</v>
      </c>
      <c r="AS473" s="55" t="str">
        <f>IFERROR(_xlfn.XLOOKUP(Tabla1[[#This Row],[Cedula agente]],Lista!$B$2:$B$97,Lista!$F$2:$F$97)," ")</f>
        <v xml:space="preserve"> </v>
      </c>
      <c r="AT473" s="99">
        <v>0.95</v>
      </c>
      <c r="AU473" s="200">
        <f>+WEEKNUM('Score BD'!$H473)-WEEKNUM(DATE(YEAR('Score BD'!$H473),MONTH('Score BD'!$H473),1))+1</f>
        <v>0</v>
      </c>
    </row>
    <row r="474" spans="1:47" ht="17.45" customHeight="1" x14ac:dyDescent="0.3">
      <c r="A474" s="49" t="str">
        <f t="shared" si="77"/>
        <v xml:space="preserve"> </v>
      </c>
      <c r="B474" s="50">
        <f>+IFERROR(COUNTIF($J$3:J474,J474)," ")</f>
        <v>0</v>
      </c>
      <c r="C474" s="54" t="str">
        <f>+'Score BD'!$J474&amp;'Score BD'!$B474</f>
        <v>0</v>
      </c>
      <c r="D474" s="91" t="s">
        <v>148</v>
      </c>
      <c r="E474" s="92"/>
      <c r="F474" s="92"/>
      <c r="G474" s="60" t="str">
        <f t="shared" si="78"/>
        <v>Enero</v>
      </c>
      <c r="H474" s="67"/>
      <c r="I474" s="243"/>
      <c r="J474" s="57"/>
      <c r="K474" s="54" t="str">
        <f>IFERROR(VLOOKUP('Score BD'!$J474,Lista!A:B,2,0)," ")</f>
        <v xml:space="preserve"> </v>
      </c>
      <c r="L474" s="61"/>
      <c r="M474" s="59"/>
      <c r="N474" s="59"/>
      <c r="O474" s="59"/>
      <c r="P474" s="59"/>
      <c r="Q474" s="96">
        <f t="shared" si="79"/>
        <v>1</v>
      </c>
      <c r="R474" s="59"/>
      <c r="S474" s="59"/>
      <c r="T474" s="59"/>
      <c r="U474" s="59"/>
      <c r="V474" s="45">
        <f t="shared" si="80"/>
        <v>1</v>
      </c>
      <c r="W474" s="59"/>
      <c r="X474" s="59"/>
      <c r="Y474" s="59"/>
      <c r="Z474" s="59"/>
      <c r="AA474" s="59"/>
      <c r="AB474" s="59"/>
      <c r="AC474" s="45">
        <f t="shared" si="81"/>
        <v>1.000000000000002</v>
      </c>
      <c r="AD474" s="43"/>
      <c r="AE474" s="43"/>
      <c r="AF474" s="97">
        <f t="shared" si="82"/>
        <v>1</v>
      </c>
      <c r="AG474" s="44">
        <f t="shared" si="83"/>
        <v>1.0000000000000004</v>
      </c>
      <c r="AH474" s="55">
        <f t="shared" si="84"/>
        <v>0</v>
      </c>
      <c r="AI474" s="55">
        <f>COUNTIF('Score BD'!$M474:$P474,"no")</f>
        <v>0</v>
      </c>
      <c r="AJ474" s="55" t="str">
        <f t="shared" si="85"/>
        <v>-</v>
      </c>
      <c r="AK474" s="55" t="str">
        <f t="shared" si="86"/>
        <v>-</v>
      </c>
      <c r="AL474" s="55" t="str">
        <f t="shared" si="87"/>
        <v>-</v>
      </c>
      <c r="AM474" s="157"/>
      <c r="AN474" s="55"/>
      <c r="AO474" s="61"/>
      <c r="AP474" s="61"/>
      <c r="AQ474" s="59" t="str">
        <f>IFERROR(_xlfn.XLOOKUP(Tabla1[[#This Row],[Cedula agente]],Lista!$B$2:$B$97,Lista!$G$2:$G$97)," ")</f>
        <v xml:space="preserve"> </v>
      </c>
      <c r="AR474" s="59" t="s">
        <v>162</v>
      </c>
      <c r="AS474" s="55" t="str">
        <f>IFERROR(_xlfn.XLOOKUP(Tabla1[[#This Row],[Cedula agente]],Lista!$B$2:$B$97,Lista!$F$2:$F$97)," ")</f>
        <v xml:space="preserve"> </v>
      </c>
      <c r="AT474" s="99">
        <v>0.95</v>
      </c>
      <c r="AU474" s="200">
        <f>+WEEKNUM('Score BD'!$H474)-WEEKNUM(DATE(YEAR('Score BD'!$H474),MONTH('Score BD'!$H474),1))+1</f>
        <v>0</v>
      </c>
    </row>
    <row r="475" spans="1:47" ht="17.45" customHeight="1" x14ac:dyDescent="0.3">
      <c r="A475" s="49" t="str">
        <f t="shared" si="77"/>
        <v xml:space="preserve"> </v>
      </c>
      <c r="B475" s="50">
        <f>+IFERROR(COUNTIF($J$3:J475,J475)," ")</f>
        <v>0</v>
      </c>
      <c r="C475" s="54" t="str">
        <f>+'Score BD'!$J475&amp;'Score BD'!$B475</f>
        <v>0</v>
      </c>
      <c r="D475" s="91" t="s">
        <v>148</v>
      </c>
      <c r="E475" s="92"/>
      <c r="F475" s="92"/>
      <c r="G475" s="60" t="str">
        <f t="shared" si="78"/>
        <v>Enero</v>
      </c>
      <c r="H475" s="67"/>
      <c r="I475" s="243"/>
      <c r="J475" s="57"/>
      <c r="K475" s="54" t="str">
        <f>IFERROR(VLOOKUP('Score BD'!$J475,Lista!A:B,2,0)," ")</f>
        <v xml:space="preserve"> </v>
      </c>
      <c r="L475" s="61"/>
      <c r="M475" s="59"/>
      <c r="N475" s="59"/>
      <c r="O475" s="59"/>
      <c r="P475" s="59"/>
      <c r="Q475" s="96">
        <f t="shared" si="79"/>
        <v>1</v>
      </c>
      <c r="R475" s="59"/>
      <c r="S475" s="59"/>
      <c r="T475" s="59"/>
      <c r="U475" s="59"/>
      <c r="V475" s="45">
        <f t="shared" si="80"/>
        <v>1</v>
      </c>
      <c r="W475" s="59"/>
      <c r="X475" s="59"/>
      <c r="Y475" s="59"/>
      <c r="Z475" s="59"/>
      <c r="AA475" s="59"/>
      <c r="AB475" s="59"/>
      <c r="AC475" s="45">
        <f t="shared" si="81"/>
        <v>1.000000000000002</v>
      </c>
      <c r="AD475" s="43"/>
      <c r="AE475" s="43"/>
      <c r="AF475" s="97">
        <f t="shared" si="82"/>
        <v>1</v>
      </c>
      <c r="AG475" s="44">
        <f t="shared" si="83"/>
        <v>1.0000000000000004</v>
      </c>
      <c r="AH475" s="55">
        <f t="shared" si="84"/>
        <v>0</v>
      </c>
      <c r="AI475" s="55">
        <f>COUNTIF('Score BD'!$M475:$P475,"no")</f>
        <v>0</v>
      </c>
      <c r="AJ475" s="55" t="str">
        <f t="shared" si="85"/>
        <v>-</v>
      </c>
      <c r="AK475" s="55" t="str">
        <f t="shared" si="86"/>
        <v>-</v>
      </c>
      <c r="AL475" s="55" t="str">
        <f t="shared" si="87"/>
        <v>-</v>
      </c>
      <c r="AM475" s="157"/>
      <c r="AN475" s="55"/>
      <c r="AO475" s="61"/>
      <c r="AP475" s="61"/>
      <c r="AQ475" s="59" t="str">
        <f>IFERROR(_xlfn.XLOOKUP(Tabla1[[#This Row],[Cedula agente]],Lista!$B$2:$B$97,Lista!$G$2:$G$97)," ")</f>
        <v xml:space="preserve"> </v>
      </c>
      <c r="AR475" s="59" t="s">
        <v>162</v>
      </c>
      <c r="AS475" s="55" t="str">
        <f>IFERROR(_xlfn.XLOOKUP(Tabla1[[#This Row],[Cedula agente]],Lista!$B$2:$B$97,Lista!$F$2:$F$97)," ")</f>
        <v xml:space="preserve"> </v>
      </c>
      <c r="AT475" s="99">
        <v>0.95</v>
      </c>
      <c r="AU475" s="200">
        <f>+WEEKNUM('Score BD'!$H475)-WEEKNUM(DATE(YEAR('Score BD'!$H475),MONTH('Score BD'!$H475),1))+1</f>
        <v>0</v>
      </c>
    </row>
    <row r="476" spans="1:47" ht="17.45" customHeight="1" x14ac:dyDescent="0.3">
      <c r="A476" s="49" t="str">
        <f t="shared" si="77"/>
        <v xml:space="preserve"> </v>
      </c>
      <c r="B476" s="50">
        <f>+IFERROR(COUNTIF($J$3:J476,J476)," ")</f>
        <v>0</v>
      </c>
      <c r="C476" s="54" t="str">
        <f>+'Score BD'!$J476&amp;'Score BD'!$B476</f>
        <v>0</v>
      </c>
      <c r="D476" s="91" t="s">
        <v>148</v>
      </c>
      <c r="E476" s="92"/>
      <c r="F476" s="92"/>
      <c r="G476" s="60" t="str">
        <f t="shared" si="78"/>
        <v>Enero</v>
      </c>
      <c r="H476" s="67"/>
      <c r="I476" s="243"/>
      <c r="J476" s="57"/>
      <c r="K476" s="54" t="str">
        <f>IFERROR(VLOOKUP('Score BD'!$J476,Lista!A:B,2,0)," ")</f>
        <v xml:space="preserve"> </v>
      </c>
      <c r="L476" s="61"/>
      <c r="M476" s="59"/>
      <c r="N476" s="59"/>
      <c r="O476" s="59"/>
      <c r="P476" s="59"/>
      <c r="Q476" s="96">
        <f t="shared" si="79"/>
        <v>1</v>
      </c>
      <c r="R476" s="59"/>
      <c r="S476" s="59"/>
      <c r="T476" s="59"/>
      <c r="U476" s="59"/>
      <c r="V476" s="45">
        <f t="shared" si="80"/>
        <v>1</v>
      </c>
      <c r="W476" s="59"/>
      <c r="X476" s="59"/>
      <c r="Y476" s="59"/>
      <c r="Z476" s="59"/>
      <c r="AA476" s="59"/>
      <c r="AB476" s="59"/>
      <c r="AC476" s="45">
        <f t="shared" si="81"/>
        <v>1.000000000000002</v>
      </c>
      <c r="AD476" s="43"/>
      <c r="AE476" s="43"/>
      <c r="AF476" s="97">
        <f t="shared" si="82"/>
        <v>1</v>
      </c>
      <c r="AG476" s="44">
        <f t="shared" si="83"/>
        <v>1.0000000000000004</v>
      </c>
      <c r="AH476" s="55">
        <f t="shared" si="84"/>
        <v>0</v>
      </c>
      <c r="AI476" s="55">
        <f>COUNTIF('Score BD'!$M476:$P476,"no")</f>
        <v>0</v>
      </c>
      <c r="AJ476" s="55" t="str">
        <f t="shared" si="85"/>
        <v>-</v>
      </c>
      <c r="AK476" s="55" t="str">
        <f t="shared" si="86"/>
        <v>-</v>
      </c>
      <c r="AL476" s="55" t="str">
        <f t="shared" si="87"/>
        <v>-</v>
      </c>
      <c r="AM476" s="157"/>
      <c r="AN476" s="55"/>
      <c r="AO476" s="61"/>
      <c r="AP476" s="61"/>
      <c r="AQ476" s="59" t="str">
        <f>IFERROR(_xlfn.XLOOKUP(Tabla1[[#This Row],[Cedula agente]],Lista!$B$2:$B$97,Lista!$G$2:$G$97)," ")</f>
        <v xml:space="preserve"> </v>
      </c>
      <c r="AR476" s="59" t="s">
        <v>162</v>
      </c>
      <c r="AS476" s="55" t="str">
        <f>IFERROR(_xlfn.XLOOKUP(Tabla1[[#This Row],[Cedula agente]],Lista!$B$2:$B$97,Lista!$F$2:$F$97)," ")</f>
        <v xml:space="preserve"> </v>
      </c>
      <c r="AT476" s="99">
        <v>0.95</v>
      </c>
      <c r="AU476" s="200">
        <f>+WEEKNUM('Score BD'!$H476)-WEEKNUM(DATE(YEAR('Score BD'!$H476),MONTH('Score BD'!$H476),1))+1</f>
        <v>0</v>
      </c>
    </row>
    <row r="477" spans="1:47" ht="17.45" customHeight="1" x14ac:dyDescent="0.3">
      <c r="A477" s="49" t="str">
        <f t="shared" si="77"/>
        <v xml:space="preserve"> </v>
      </c>
      <c r="B477" s="50">
        <f>+IFERROR(COUNTIF($J$3:J477,J477)," ")</f>
        <v>0</v>
      </c>
      <c r="C477" s="54" t="str">
        <f>+'Score BD'!$J477&amp;'Score BD'!$B477</f>
        <v>0</v>
      </c>
      <c r="D477" s="91" t="s">
        <v>148</v>
      </c>
      <c r="E477" s="92"/>
      <c r="F477" s="92"/>
      <c r="G477" s="60" t="str">
        <f t="shared" si="78"/>
        <v>Enero</v>
      </c>
      <c r="H477" s="67"/>
      <c r="I477" s="243"/>
      <c r="J477" s="57"/>
      <c r="K477" s="54" t="str">
        <f>IFERROR(VLOOKUP('Score BD'!$J477,Lista!A:B,2,0)," ")</f>
        <v xml:space="preserve"> </v>
      </c>
      <c r="L477" s="61"/>
      <c r="M477" s="59"/>
      <c r="N477" s="59"/>
      <c r="O477" s="59"/>
      <c r="P477" s="59"/>
      <c r="Q477" s="96">
        <f t="shared" si="79"/>
        <v>1</v>
      </c>
      <c r="R477" s="59"/>
      <c r="S477" s="59"/>
      <c r="T477" s="59"/>
      <c r="U477" s="59"/>
      <c r="V477" s="45">
        <f t="shared" si="80"/>
        <v>1</v>
      </c>
      <c r="W477" s="59"/>
      <c r="X477" s="59"/>
      <c r="Y477" s="59"/>
      <c r="Z477" s="59"/>
      <c r="AA477" s="59"/>
      <c r="AB477" s="59"/>
      <c r="AC477" s="45">
        <f t="shared" si="81"/>
        <v>1.000000000000002</v>
      </c>
      <c r="AD477" s="43"/>
      <c r="AE477" s="43"/>
      <c r="AF477" s="97">
        <f t="shared" si="82"/>
        <v>1</v>
      </c>
      <c r="AG477" s="44">
        <f t="shared" si="83"/>
        <v>1.0000000000000004</v>
      </c>
      <c r="AH477" s="55">
        <f t="shared" si="84"/>
        <v>0</v>
      </c>
      <c r="AI477" s="55">
        <f>COUNTIF('Score BD'!$M477:$P477,"no")</f>
        <v>0</v>
      </c>
      <c r="AJ477" s="55" t="str">
        <f t="shared" si="85"/>
        <v>-</v>
      </c>
      <c r="AK477" s="55" t="str">
        <f t="shared" si="86"/>
        <v>-</v>
      </c>
      <c r="AL477" s="55" t="str">
        <f t="shared" si="87"/>
        <v>-</v>
      </c>
      <c r="AM477" s="157"/>
      <c r="AN477" s="55"/>
      <c r="AO477" s="61"/>
      <c r="AP477" s="61"/>
      <c r="AQ477" s="59" t="str">
        <f>IFERROR(_xlfn.XLOOKUP(Tabla1[[#This Row],[Cedula agente]],Lista!$B$2:$B$97,Lista!$G$2:$G$97)," ")</f>
        <v xml:space="preserve"> </v>
      </c>
      <c r="AR477" s="59" t="s">
        <v>162</v>
      </c>
      <c r="AS477" s="55" t="str">
        <f>IFERROR(_xlfn.XLOOKUP(Tabla1[[#This Row],[Cedula agente]],Lista!$B$2:$B$97,Lista!$F$2:$F$97)," ")</f>
        <v xml:space="preserve"> </v>
      </c>
      <c r="AT477" s="99">
        <v>0.95</v>
      </c>
      <c r="AU477" s="200">
        <f>+WEEKNUM('Score BD'!$H477)-WEEKNUM(DATE(YEAR('Score BD'!$H477),MONTH('Score BD'!$H477),1))+1</f>
        <v>0</v>
      </c>
    </row>
    <row r="478" spans="1:47" ht="17.45" customHeight="1" x14ac:dyDescent="0.3">
      <c r="A478" s="49" t="str">
        <f t="shared" si="77"/>
        <v xml:space="preserve"> </v>
      </c>
      <c r="B478" s="50">
        <f>+IFERROR(COUNTIF($J$3:J478,J478)," ")</f>
        <v>0</v>
      </c>
      <c r="C478" s="54" t="str">
        <f>+'Score BD'!$J478&amp;'Score BD'!$B478</f>
        <v>0</v>
      </c>
      <c r="D478" s="91" t="s">
        <v>148</v>
      </c>
      <c r="E478" s="92"/>
      <c r="F478" s="92"/>
      <c r="G478" s="60" t="str">
        <f t="shared" si="78"/>
        <v>Enero</v>
      </c>
      <c r="H478" s="67"/>
      <c r="I478" s="243"/>
      <c r="J478" s="57"/>
      <c r="K478" s="54" t="str">
        <f>IFERROR(VLOOKUP('Score BD'!$J478,Lista!A:B,2,0)," ")</f>
        <v xml:space="preserve"> </v>
      </c>
      <c r="L478" s="61"/>
      <c r="M478" s="59"/>
      <c r="N478" s="59"/>
      <c r="O478" s="59"/>
      <c r="P478" s="59"/>
      <c r="Q478" s="96">
        <f t="shared" si="79"/>
        <v>1</v>
      </c>
      <c r="R478" s="59"/>
      <c r="S478" s="59"/>
      <c r="T478" s="59"/>
      <c r="U478" s="59"/>
      <c r="V478" s="45">
        <f t="shared" si="80"/>
        <v>1</v>
      </c>
      <c r="W478" s="59"/>
      <c r="X478" s="59"/>
      <c r="Y478" s="59"/>
      <c r="Z478" s="59"/>
      <c r="AA478" s="59"/>
      <c r="AB478" s="59"/>
      <c r="AC478" s="45">
        <f t="shared" si="81"/>
        <v>1.000000000000002</v>
      </c>
      <c r="AD478" s="43"/>
      <c r="AE478" s="43"/>
      <c r="AF478" s="97">
        <f t="shared" si="82"/>
        <v>1</v>
      </c>
      <c r="AG478" s="44">
        <f t="shared" si="83"/>
        <v>1.0000000000000004</v>
      </c>
      <c r="AH478" s="55">
        <f t="shared" si="84"/>
        <v>0</v>
      </c>
      <c r="AI478" s="55">
        <f>COUNTIF('Score BD'!$M478:$P478,"no")</f>
        <v>0</v>
      </c>
      <c r="AJ478" s="55" t="str">
        <f t="shared" si="85"/>
        <v>-</v>
      </c>
      <c r="AK478" s="55" t="str">
        <f t="shared" si="86"/>
        <v>-</v>
      </c>
      <c r="AL478" s="55" t="str">
        <f t="shared" si="87"/>
        <v>-</v>
      </c>
      <c r="AM478" s="157"/>
      <c r="AN478" s="55"/>
      <c r="AO478" s="61"/>
      <c r="AP478" s="61"/>
      <c r="AQ478" s="59" t="str">
        <f>IFERROR(_xlfn.XLOOKUP(Tabla1[[#This Row],[Cedula agente]],Lista!$B$2:$B$97,Lista!$G$2:$G$97)," ")</f>
        <v xml:space="preserve"> </v>
      </c>
      <c r="AR478" s="59" t="s">
        <v>162</v>
      </c>
      <c r="AS478" s="55" t="str">
        <f>IFERROR(_xlfn.XLOOKUP(Tabla1[[#This Row],[Cedula agente]],Lista!$B$2:$B$97,Lista!$F$2:$F$97)," ")</f>
        <v xml:space="preserve"> </v>
      </c>
      <c r="AT478" s="99">
        <v>0.95</v>
      </c>
      <c r="AU478" s="200">
        <f>+WEEKNUM('Score BD'!$H478)-WEEKNUM(DATE(YEAR('Score BD'!$H478),MONTH('Score BD'!$H478),1))+1</f>
        <v>0</v>
      </c>
    </row>
    <row r="479" spans="1:47" ht="17.45" customHeight="1" x14ac:dyDescent="0.3">
      <c r="A479" s="49" t="str">
        <f t="shared" si="77"/>
        <v xml:space="preserve"> </v>
      </c>
      <c r="B479" s="50">
        <f>+IFERROR(COUNTIF($J$3:J479,J479)," ")</f>
        <v>0</v>
      </c>
      <c r="C479" s="54" t="str">
        <f>+'Score BD'!$J479&amp;'Score BD'!$B479</f>
        <v>0</v>
      </c>
      <c r="D479" s="91" t="s">
        <v>148</v>
      </c>
      <c r="E479" s="92"/>
      <c r="F479" s="92"/>
      <c r="G479" s="60" t="str">
        <f t="shared" si="78"/>
        <v>Enero</v>
      </c>
      <c r="H479" s="67"/>
      <c r="I479" s="243"/>
      <c r="J479" s="57"/>
      <c r="K479" s="54" t="str">
        <f>IFERROR(VLOOKUP('Score BD'!$J479,Lista!A:B,2,0)," ")</f>
        <v xml:space="preserve"> </v>
      </c>
      <c r="L479" s="61"/>
      <c r="M479" s="59"/>
      <c r="N479" s="59"/>
      <c r="O479" s="59"/>
      <c r="P479" s="59"/>
      <c r="Q479" s="96">
        <f t="shared" si="79"/>
        <v>1</v>
      </c>
      <c r="R479" s="59"/>
      <c r="S479" s="59"/>
      <c r="T479" s="59"/>
      <c r="U479" s="59"/>
      <c r="V479" s="45">
        <f t="shared" si="80"/>
        <v>1</v>
      </c>
      <c r="W479" s="59"/>
      <c r="X479" s="59"/>
      <c r="Y479" s="59"/>
      <c r="Z479" s="59"/>
      <c r="AA479" s="59"/>
      <c r="AB479" s="59"/>
      <c r="AC479" s="45">
        <f t="shared" si="81"/>
        <v>1.000000000000002</v>
      </c>
      <c r="AD479" s="43"/>
      <c r="AE479" s="43"/>
      <c r="AF479" s="97">
        <f t="shared" si="82"/>
        <v>1</v>
      </c>
      <c r="AG479" s="44">
        <f t="shared" si="83"/>
        <v>1.0000000000000004</v>
      </c>
      <c r="AH479" s="55">
        <f t="shared" si="84"/>
        <v>0</v>
      </c>
      <c r="AI479" s="55">
        <f>COUNTIF('Score BD'!$M479:$P479,"no")</f>
        <v>0</v>
      </c>
      <c r="AJ479" s="55" t="str">
        <f t="shared" si="85"/>
        <v>-</v>
      </c>
      <c r="AK479" s="55" t="str">
        <f t="shared" si="86"/>
        <v>-</v>
      </c>
      <c r="AL479" s="55" t="str">
        <f t="shared" si="87"/>
        <v>-</v>
      </c>
      <c r="AM479" s="157"/>
      <c r="AN479" s="55"/>
      <c r="AO479" s="61"/>
      <c r="AP479" s="61"/>
      <c r="AQ479" s="59" t="str">
        <f>IFERROR(_xlfn.XLOOKUP(Tabla1[[#This Row],[Cedula agente]],Lista!$B$2:$B$97,Lista!$G$2:$G$97)," ")</f>
        <v xml:space="preserve"> </v>
      </c>
      <c r="AR479" s="59" t="s">
        <v>162</v>
      </c>
      <c r="AS479" s="55" t="str">
        <f>IFERROR(_xlfn.XLOOKUP(Tabla1[[#This Row],[Cedula agente]],Lista!$B$2:$B$97,Lista!$F$2:$F$97)," ")</f>
        <v xml:space="preserve"> </v>
      </c>
      <c r="AT479" s="99">
        <v>0.95</v>
      </c>
      <c r="AU479" s="200">
        <f>+WEEKNUM('Score BD'!$H479)-WEEKNUM(DATE(YEAR('Score BD'!$H479),MONTH('Score BD'!$H479),1))+1</f>
        <v>0</v>
      </c>
    </row>
    <row r="480" spans="1:47" ht="17.45" customHeight="1" x14ac:dyDescent="0.3">
      <c r="A480" s="49" t="str">
        <f t="shared" si="77"/>
        <v xml:space="preserve"> </v>
      </c>
      <c r="B480" s="50">
        <f>+IFERROR(COUNTIF($J$3:J480,J480)," ")</f>
        <v>0</v>
      </c>
      <c r="C480" s="54" t="str">
        <f>+'Score BD'!$J480&amp;'Score BD'!$B480</f>
        <v>0</v>
      </c>
      <c r="D480" s="91" t="s">
        <v>148</v>
      </c>
      <c r="E480" s="92"/>
      <c r="F480" s="92"/>
      <c r="G480" s="60" t="str">
        <f t="shared" si="78"/>
        <v>Enero</v>
      </c>
      <c r="H480" s="67"/>
      <c r="I480" s="243"/>
      <c r="J480" s="57"/>
      <c r="K480" s="54" t="str">
        <f>IFERROR(VLOOKUP('Score BD'!$J480,Lista!A:B,2,0)," ")</f>
        <v xml:space="preserve"> </v>
      </c>
      <c r="L480" s="61"/>
      <c r="M480" s="59"/>
      <c r="N480" s="59"/>
      <c r="O480" s="59"/>
      <c r="P480" s="59"/>
      <c r="Q480" s="96">
        <f t="shared" si="79"/>
        <v>1</v>
      </c>
      <c r="R480" s="59"/>
      <c r="S480" s="59"/>
      <c r="T480" s="59"/>
      <c r="U480" s="59"/>
      <c r="V480" s="45">
        <f t="shared" si="80"/>
        <v>1</v>
      </c>
      <c r="W480" s="59"/>
      <c r="X480" s="59"/>
      <c r="Y480" s="59"/>
      <c r="Z480" s="59"/>
      <c r="AA480" s="59"/>
      <c r="AB480" s="59"/>
      <c r="AC480" s="45">
        <f t="shared" si="81"/>
        <v>1.000000000000002</v>
      </c>
      <c r="AD480" s="43"/>
      <c r="AE480" s="43"/>
      <c r="AF480" s="97">
        <f t="shared" si="82"/>
        <v>1</v>
      </c>
      <c r="AG480" s="44">
        <f t="shared" si="83"/>
        <v>1.0000000000000004</v>
      </c>
      <c r="AH480" s="55">
        <f t="shared" si="84"/>
        <v>0</v>
      </c>
      <c r="AI480" s="55">
        <f>COUNTIF('Score BD'!$M480:$P480,"no")</f>
        <v>0</v>
      </c>
      <c r="AJ480" s="55" t="str">
        <f t="shared" si="85"/>
        <v>-</v>
      </c>
      <c r="AK480" s="55" t="str">
        <f t="shared" si="86"/>
        <v>-</v>
      </c>
      <c r="AL480" s="55" t="str">
        <f t="shared" si="87"/>
        <v>-</v>
      </c>
      <c r="AM480" s="157"/>
      <c r="AN480" s="55"/>
      <c r="AO480" s="61"/>
      <c r="AP480" s="61"/>
      <c r="AQ480" s="59" t="str">
        <f>IFERROR(_xlfn.XLOOKUP(Tabla1[[#This Row],[Cedula agente]],Lista!$B$2:$B$97,Lista!$G$2:$G$97)," ")</f>
        <v xml:space="preserve"> </v>
      </c>
      <c r="AR480" s="59" t="s">
        <v>162</v>
      </c>
      <c r="AS480" s="55" t="str">
        <f>IFERROR(_xlfn.XLOOKUP(Tabla1[[#This Row],[Cedula agente]],Lista!$B$2:$B$97,Lista!$F$2:$F$97)," ")</f>
        <v xml:space="preserve"> </v>
      </c>
      <c r="AT480" s="99">
        <v>0.95</v>
      </c>
      <c r="AU480" s="200">
        <f>+WEEKNUM('Score BD'!$H480)-WEEKNUM(DATE(YEAR('Score BD'!$H480),MONTH('Score BD'!$H480),1))+1</f>
        <v>0</v>
      </c>
    </row>
    <row r="481" spans="1:47" ht="17.45" customHeight="1" x14ac:dyDescent="0.3">
      <c r="A481" s="49" t="str">
        <f t="shared" si="77"/>
        <v xml:space="preserve"> </v>
      </c>
      <c r="B481" s="50">
        <f>+IFERROR(COUNTIF($J$3:J481,J481)," ")</f>
        <v>0</v>
      </c>
      <c r="C481" s="54" t="str">
        <f>+'Score BD'!$J481&amp;'Score BD'!$B481</f>
        <v>0</v>
      </c>
      <c r="D481" s="91" t="s">
        <v>148</v>
      </c>
      <c r="E481" s="92"/>
      <c r="F481" s="92"/>
      <c r="G481" s="60" t="str">
        <f t="shared" si="78"/>
        <v>Enero</v>
      </c>
      <c r="H481" s="67"/>
      <c r="I481" s="243"/>
      <c r="J481" s="57"/>
      <c r="K481" s="54" t="str">
        <f>IFERROR(VLOOKUP('Score BD'!$J481,Lista!A:B,2,0)," ")</f>
        <v xml:space="preserve"> </v>
      </c>
      <c r="L481" s="61"/>
      <c r="M481" s="59"/>
      <c r="N481" s="59"/>
      <c r="O481" s="59"/>
      <c r="P481" s="59"/>
      <c r="Q481" s="96">
        <f t="shared" si="79"/>
        <v>1</v>
      </c>
      <c r="R481" s="59"/>
      <c r="S481" s="59"/>
      <c r="T481" s="59"/>
      <c r="U481" s="59"/>
      <c r="V481" s="45">
        <f t="shared" si="80"/>
        <v>1</v>
      </c>
      <c r="W481" s="59"/>
      <c r="X481" s="59"/>
      <c r="Y481" s="59"/>
      <c r="Z481" s="59"/>
      <c r="AA481" s="59"/>
      <c r="AB481" s="59"/>
      <c r="AC481" s="45">
        <f t="shared" si="81"/>
        <v>1.000000000000002</v>
      </c>
      <c r="AD481" s="43"/>
      <c r="AE481" s="43"/>
      <c r="AF481" s="97">
        <f t="shared" si="82"/>
        <v>1</v>
      </c>
      <c r="AG481" s="44">
        <f t="shared" si="83"/>
        <v>1.0000000000000004</v>
      </c>
      <c r="AH481" s="55">
        <f t="shared" si="84"/>
        <v>0</v>
      </c>
      <c r="AI481" s="55">
        <f>COUNTIF('Score BD'!$M481:$P481,"no")</f>
        <v>0</v>
      </c>
      <c r="AJ481" s="55" t="str">
        <f t="shared" si="85"/>
        <v>-</v>
      </c>
      <c r="AK481" s="55" t="str">
        <f t="shared" si="86"/>
        <v>-</v>
      </c>
      <c r="AL481" s="55" t="str">
        <f t="shared" si="87"/>
        <v>-</v>
      </c>
      <c r="AM481" s="157"/>
      <c r="AN481" s="55"/>
      <c r="AO481" s="61"/>
      <c r="AP481" s="61"/>
      <c r="AQ481" s="59" t="str">
        <f>IFERROR(_xlfn.XLOOKUP(Tabla1[[#This Row],[Cedula agente]],Lista!$B$2:$B$97,Lista!$G$2:$G$97)," ")</f>
        <v xml:space="preserve"> </v>
      </c>
      <c r="AR481" s="59" t="s">
        <v>162</v>
      </c>
      <c r="AS481" s="55" t="str">
        <f>IFERROR(_xlfn.XLOOKUP(Tabla1[[#This Row],[Cedula agente]],Lista!$B$2:$B$97,Lista!$F$2:$F$97)," ")</f>
        <v xml:space="preserve"> </v>
      </c>
      <c r="AT481" s="99">
        <v>0.95</v>
      </c>
      <c r="AU481" s="200">
        <f>+WEEKNUM('Score BD'!$H481)-WEEKNUM(DATE(YEAR('Score BD'!$H481),MONTH('Score BD'!$H481),1))+1</f>
        <v>0</v>
      </c>
    </row>
    <row r="482" spans="1:47" ht="17.45" customHeight="1" x14ac:dyDescent="0.3">
      <c r="A482" s="49" t="str">
        <f t="shared" si="77"/>
        <v xml:space="preserve"> </v>
      </c>
      <c r="B482" s="50">
        <f>+IFERROR(COUNTIF($J$3:J482,J482)," ")</f>
        <v>0</v>
      </c>
      <c r="C482" s="54" t="str">
        <f>+'Score BD'!$J482&amp;'Score BD'!$B482</f>
        <v>0</v>
      </c>
      <c r="D482" s="91" t="s">
        <v>148</v>
      </c>
      <c r="E482" s="92"/>
      <c r="F482" s="92"/>
      <c r="G482" s="60" t="str">
        <f t="shared" si="78"/>
        <v>Enero</v>
      </c>
      <c r="H482" s="67"/>
      <c r="I482" s="243"/>
      <c r="J482" s="57"/>
      <c r="K482" s="54" t="str">
        <f>IFERROR(VLOOKUP('Score BD'!$J482,Lista!A:B,2,0)," ")</f>
        <v xml:space="preserve"> </v>
      </c>
      <c r="L482" s="61"/>
      <c r="M482" s="59"/>
      <c r="N482" s="59"/>
      <c r="O482" s="59"/>
      <c r="P482" s="59"/>
      <c r="Q482" s="96">
        <f t="shared" si="79"/>
        <v>1</v>
      </c>
      <c r="R482" s="59"/>
      <c r="S482" s="59"/>
      <c r="T482" s="59"/>
      <c r="U482" s="59"/>
      <c r="V482" s="45">
        <f t="shared" si="80"/>
        <v>1</v>
      </c>
      <c r="W482" s="59"/>
      <c r="X482" s="59"/>
      <c r="Y482" s="59"/>
      <c r="Z482" s="59"/>
      <c r="AA482" s="59"/>
      <c r="AB482" s="59"/>
      <c r="AC482" s="45">
        <f t="shared" si="81"/>
        <v>1.000000000000002</v>
      </c>
      <c r="AD482" s="43"/>
      <c r="AE482" s="43"/>
      <c r="AF482" s="97">
        <f t="shared" si="82"/>
        <v>1</v>
      </c>
      <c r="AG482" s="44">
        <f t="shared" si="83"/>
        <v>1.0000000000000004</v>
      </c>
      <c r="AH482" s="55">
        <f t="shared" si="84"/>
        <v>0</v>
      </c>
      <c r="AI482" s="55">
        <f>COUNTIF('Score BD'!$M482:$P482,"no")</f>
        <v>0</v>
      </c>
      <c r="AJ482" s="55" t="str">
        <f t="shared" si="85"/>
        <v>-</v>
      </c>
      <c r="AK482" s="55" t="str">
        <f t="shared" si="86"/>
        <v>-</v>
      </c>
      <c r="AL482" s="55" t="str">
        <f t="shared" si="87"/>
        <v>-</v>
      </c>
      <c r="AM482" s="157"/>
      <c r="AN482" s="55"/>
      <c r="AO482" s="61"/>
      <c r="AP482" s="61"/>
      <c r="AQ482" s="59" t="str">
        <f>IFERROR(_xlfn.XLOOKUP(Tabla1[[#This Row],[Cedula agente]],Lista!$B$2:$B$97,Lista!$G$2:$G$97)," ")</f>
        <v xml:space="preserve"> </v>
      </c>
      <c r="AR482" s="59" t="s">
        <v>162</v>
      </c>
      <c r="AS482" s="55" t="str">
        <f>IFERROR(_xlfn.XLOOKUP(Tabla1[[#This Row],[Cedula agente]],Lista!$B$2:$B$97,Lista!$F$2:$F$97)," ")</f>
        <v xml:space="preserve"> </v>
      </c>
      <c r="AT482" s="99">
        <v>0.95</v>
      </c>
      <c r="AU482" s="200">
        <f>+WEEKNUM('Score BD'!$H482)-WEEKNUM(DATE(YEAR('Score BD'!$H482),MONTH('Score BD'!$H482),1))+1</f>
        <v>0</v>
      </c>
    </row>
    <row r="483" spans="1:47" ht="17.45" customHeight="1" x14ac:dyDescent="0.3">
      <c r="A483" s="49" t="str">
        <f t="shared" si="77"/>
        <v xml:space="preserve"> </v>
      </c>
      <c r="B483" s="50">
        <f>+IFERROR(COUNTIF($J$3:J483,J483)," ")</f>
        <v>0</v>
      </c>
      <c r="C483" s="54" t="str">
        <f>+'Score BD'!$J483&amp;'Score BD'!$B483</f>
        <v>0</v>
      </c>
      <c r="D483" s="91" t="s">
        <v>148</v>
      </c>
      <c r="E483" s="92"/>
      <c r="F483" s="92"/>
      <c r="G483" s="60" t="str">
        <f t="shared" si="78"/>
        <v>Enero</v>
      </c>
      <c r="H483" s="67"/>
      <c r="I483" s="243"/>
      <c r="J483" s="57"/>
      <c r="K483" s="54" t="str">
        <f>IFERROR(VLOOKUP('Score BD'!$J483,Lista!A:B,2,0)," ")</f>
        <v xml:space="preserve"> </v>
      </c>
      <c r="L483" s="61"/>
      <c r="M483" s="59"/>
      <c r="N483" s="59"/>
      <c r="O483" s="59"/>
      <c r="P483" s="59"/>
      <c r="Q483" s="96">
        <f t="shared" si="79"/>
        <v>1</v>
      </c>
      <c r="R483" s="59"/>
      <c r="S483" s="59"/>
      <c r="T483" s="59"/>
      <c r="U483" s="59"/>
      <c r="V483" s="45">
        <f t="shared" si="80"/>
        <v>1</v>
      </c>
      <c r="W483" s="59"/>
      <c r="X483" s="59"/>
      <c r="Y483" s="59"/>
      <c r="Z483" s="59"/>
      <c r="AA483" s="59"/>
      <c r="AB483" s="59"/>
      <c r="AC483" s="45">
        <f t="shared" si="81"/>
        <v>1.000000000000002</v>
      </c>
      <c r="AD483" s="43"/>
      <c r="AE483" s="43"/>
      <c r="AF483" s="97">
        <f t="shared" si="82"/>
        <v>1</v>
      </c>
      <c r="AG483" s="44">
        <f t="shared" si="83"/>
        <v>1.0000000000000004</v>
      </c>
      <c r="AH483" s="55">
        <f t="shared" si="84"/>
        <v>0</v>
      </c>
      <c r="AI483" s="55">
        <f>COUNTIF('Score BD'!$M483:$P483,"no")</f>
        <v>0</v>
      </c>
      <c r="AJ483" s="55" t="str">
        <f t="shared" si="85"/>
        <v>-</v>
      </c>
      <c r="AK483" s="55" t="str">
        <f t="shared" si="86"/>
        <v>-</v>
      </c>
      <c r="AL483" s="55" t="str">
        <f t="shared" si="87"/>
        <v>-</v>
      </c>
      <c r="AM483" s="157"/>
      <c r="AN483" s="55"/>
      <c r="AO483" s="61"/>
      <c r="AP483" s="61"/>
      <c r="AQ483" s="59" t="str">
        <f>IFERROR(_xlfn.XLOOKUP(Tabla1[[#This Row],[Cedula agente]],Lista!$B$2:$B$97,Lista!$G$2:$G$97)," ")</f>
        <v xml:space="preserve"> </v>
      </c>
      <c r="AR483" s="59" t="s">
        <v>162</v>
      </c>
      <c r="AS483" s="55" t="str">
        <f>IFERROR(_xlfn.XLOOKUP(Tabla1[[#This Row],[Cedula agente]],Lista!$B$2:$B$97,Lista!$F$2:$F$97)," ")</f>
        <v xml:space="preserve"> </v>
      </c>
      <c r="AT483" s="99">
        <v>0.95</v>
      </c>
      <c r="AU483" s="200">
        <f>+WEEKNUM('Score BD'!$H483)-WEEKNUM(DATE(YEAR('Score BD'!$H483),MONTH('Score BD'!$H483),1))+1</f>
        <v>0</v>
      </c>
    </row>
    <row r="484" spans="1:47" ht="17.45" customHeight="1" x14ac:dyDescent="0.3">
      <c r="A484" s="49" t="str">
        <f t="shared" si="77"/>
        <v xml:space="preserve"> </v>
      </c>
      <c r="B484" s="50">
        <f>+IFERROR(COUNTIF($J$3:J484,J484)," ")</f>
        <v>0</v>
      </c>
      <c r="C484" s="54" t="str">
        <f>+'Score BD'!$J484&amp;'Score BD'!$B484</f>
        <v>0</v>
      </c>
      <c r="D484" s="91" t="s">
        <v>148</v>
      </c>
      <c r="E484" s="92"/>
      <c r="F484" s="92"/>
      <c r="G484" s="60" t="str">
        <f t="shared" si="78"/>
        <v>Enero</v>
      </c>
      <c r="H484" s="67"/>
      <c r="I484" s="243"/>
      <c r="J484" s="57"/>
      <c r="K484" s="54" t="str">
        <f>IFERROR(VLOOKUP('Score BD'!$J484,Lista!A:B,2,0)," ")</f>
        <v xml:space="preserve"> </v>
      </c>
      <c r="L484" s="61"/>
      <c r="M484" s="59"/>
      <c r="N484" s="59"/>
      <c r="O484" s="59"/>
      <c r="P484" s="59"/>
      <c r="Q484" s="96">
        <f t="shared" si="79"/>
        <v>1</v>
      </c>
      <c r="R484" s="59"/>
      <c r="S484" s="59"/>
      <c r="T484" s="59"/>
      <c r="U484" s="59"/>
      <c r="V484" s="45">
        <f t="shared" si="80"/>
        <v>1</v>
      </c>
      <c r="W484" s="59"/>
      <c r="X484" s="59"/>
      <c r="Y484" s="59"/>
      <c r="Z484" s="59"/>
      <c r="AA484" s="59"/>
      <c r="AB484" s="59"/>
      <c r="AC484" s="45">
        <f t="shared" si="81"/>
        <v>1.000000000000002</v>
      </c>
      <c r="AD484" s="43"/>
      <c r="AE484" s="43"/>
      <c r="AF484" s="97">
        <f t="shared" si="82"/>
        <v>1</v>
      </c>
      <c r="AG484" s="44">
        <f t="shared" si="83"/>
        <v>1.0000000000000004</v>
      </c>
      <c r="AH484" s="55">
        <f t="shared" si="84"/>
        <v>0</v>
      </c>
      <c r="AI484" s="55">
        <f>COUNTIF('Score BD'!$M484:$P484,"no")</f>
        <v>0</v>
      </c>
      <c r="AJ484" s="55" t="str">
        <f t="shared" si="85"/>
        <v>-</v>
      </c>
      <c r="AK484" s="55" t="str">
        <f t="shared" si="86"/>
        <v>-</v>
      </c>
      <c r="AL484" s="55" t="str">
        <f t="shared" si="87"/>
        <v>-</v>
      </c>
      <c r="AM484" s="157"/>
      <c r="AN484" s="55"/>
      <c r="AO484" s="61"/>
      <c r="AP484" s="61"/>
      <c r="AQ484" s="59" t="str">
        <f>IFERROR(_xlfn.XLOOKUP(Tabla1[[#This Row],[Cedula agente]],Lista!$B$2:$B$97,Lista!$G$2:$G$97)," ")</f>
        <v xml:space="preserve"> </v>
      </c>
      <c r="AR484" s="59" t="s">
        <v>162</v>
      </c>
      <c r="AS484" s="55" t="str">
        <f>IFERROR(_xlfn.XLOOKUP(Tabla1[[#This Row],[Cedula agente]],Lista!$B$2:$B$97,Lista!$F$2:$F$97)," ")</f>
        <v xml:space="preserve"> </v>
      </c>
      <c r="AT484" s="99">
        <v>0.95</v>
      </c>
      <c r="AU484" s="200">
        <f>+WEEKNUM('Score BD'!$H484)-WEEKNUM(DATE(YEAR('Score BD'!$H484),MONTH('Score BD'!$H484),1))+1</f>
        <v>0</v>
      </c>
    </row>
    <row r="485" spans="1:47" ht="17.45" customHeight="1" x14ac:dyDescent="0.3">
      <c r="A485" s="49" t="str">
        <f t="shared" si="77"/>
        <v xml:space="preserve"> </v>
      </c>
      <c r="B485" s="50">
        <f>+IFERROR(COUNTIF($J$3:J485,J485)," ")</f>
        <v>0</v>
      </c>
      <c r="C485" s="54" t="str">
        <f>+'Score BD'!$J485&amp;'Score BD'!$B485</f>
        <v>0</v>
      </c>
      <c r="D485" s="91" t="s">
        <v>148</v>
      </c>
      <c r="E485" s="92"/>
      <c r="F485" s="92"/>
      <c r="G485" s="60" t="str">
        <f t="shared" si="78"/>
        <v>Enero</v>
      </c>
      <c r="H485" s="67"/>
      <c r="I485" s="243"/>
      <c r="J485" s="57"/>
      <c r="K485" s="54" t="str">
        <f>IFERROR(VLOOKUP('Score BD'!$J485,Lista!A:B,2,0)," ")</f>
        <v xml:space="preserve"> </v>
      </c>
      <c r="L485" s="61"/>
      <c r="M485" s="59"/>
      <c r="N485" s="59"/>
      <c r="O485" s="59"/>
      <c r="P485" s="59"/>
      <c r="Q485" s="96">
        <f t="shared" si="79"/>
        <v>1</v>
      </c>
      <c r="R485" s="59"/>
      <c r="S485" s="59"/>
      <c r="T485" s="59"/>
      <c r="U485" s="59"/>
      <c r="V485" s="45">
        <f t="shared" si="80"/>
        <v>1</v>
      </c>
      <c r="W485" s="59"/>
      <c r="X485" s="59"/>
      <c r="Y485" s="59"/>
      <c r="Z485" s="59"/>
      <c r="AA485" s="59"/>
      <c r="AB485" s="59"/>
      <c r="AC485" s="45">
        <f t="shared" si="81"/>
        <v>1.000000000000002</v>
      </c>
      <c r="AD485" s="43"/>
      <c r="AE485" s="43"/>
      <c r="AF485" s="97">
        <f t="shared" si="82"/>
        <v>1</v>
      </c>
      <c r="AG485" s="44">
        <f t="shared" si="83"/>
        <v>1.0000000000000004</v>
      </c>
      <c r="AH485" s="55">
        <f t="shared" si="84"/>
        <v>0</v>
      </c>
      <c r="AI485" s="55">
        <f>COUNTIF('Score BD'!$M485:$P485,"no")</f>
        <v>0</v>
      </c>
      <c r="AJ485" s="55" t="str">
        <f t="shared" si="85"/>
        <v>-</v>
      </c>
      <c r="AK485" s="55" t="str">
        <f t="shared" si="86"/>
        <v>-</v>
      </c>
      <c r="AL485" s="55" t="str">
        <f t="shared" si="87"/>
        <v>-</v>
      </c>
      <c r="AM485" s="157"/>
      <c r="AN485" s="55"/>
      <c r="AO485" s="61"/>
      <c r="AP485" s="61"/>
      <c r="AQ485" s="59" t="str">
        <f>IFERROR(_xlfn.XLOOKUP(Tabla1[[#This Row],[Cedula agente]],Lista!$B$2:$B$97,Lista!$G$2:$G$97)," ")</f>
        <v xml:space="preserve"> </v>
      </c>
      <c r="AR485" s="59" t="s">
        <v>162</v>
      </c>
      <c r="AS485" s="55" t="str">
        <f>IFERROR(_xlfn.XLOOKUP(Tabla1[[#This Row],[Cedula agente]],Lista!$B$2:$B$97,Lista!$F$2:$F$97)," ")</f>
        <v xml:space="preserve"> </v>
      </c>
      <c r="AT485" s="99">
        <v>0.95</v>
      </c>
      <c r="AU485" s="200">
        <f>+WEEKNUM('Score BD'!$H485)-WEEKNUM(DATE(YEAR('Score BD'!$H485),MONTH('Score BD'!$H485),1))+1</f>
        <v>0</v>
      </c>
    </row>
    <row r="486" spans="1:47" ht="17.45" customHeight="1" x14ac:dyDescent="0.3">
      <c r="A486" s="49" t="str">
        <f t="shared" si="77"/>
        <v xml:space="preserve"> </v>
      </c>
      <c r="B486" s="50">
        <f>+IFERROR(COUNTIF($J$3:J486,J486)," ")</f>
        <v>0</v>
      </c>
      <c r="C486" s="54" t="str">
        <f>+'Score BD'!$J486&amp;'Score BD'!$B486</f>
        <v>0</v>
      </c>
      <c r="D486" s="91" t="s">
        <v>148</v>
      </c>
      <c r="E486" s="92"/>
      <c r="F486" s="92"/>
      <c r="G486" s="60" t="str">
        <f t="shared" si="78"/>
        <v>Enero</v>
      </c>
      <c r="H486" s="67"/>
      <c r="I486" s="243"/>
      <c r="J486" s="57"/>
      <c r="K486" s="54" t="str">
        <f>IFERROR(VLOOKUP('Score BD'!$J486,Lista!A:B,2,0)," ")</f>
        <v xml:space="preserve"> </v>
      </c>
      <c r="L486" s="61"/>
      <c r="M486" s="59"/>
      <c r="N486" s="59"/>
      <c r="O486" s="59"/>
      <c r="P486" s="59"/>
      <c r="Q486" s="96">
        <f t="shared" si="79"/>
        <v>1</v>
      </c>
      <c r="R486" s="59"/>
      <c r="S486" s="59"/>
      <c r="T486" s="59"/>
      <c r="U486" s="59"/>
      <c r="V486" s="45">
        <f t="shared" si="80"/>
        <v>1</v>
      </c>
      <c r="W486" s="59"/>
      <c r="X486" s="59"/>
      <c r="Y486" s="59"/>
      <c r="Z486" s="59"/>
      <c r="AA486" s="59"/>
      <c r="AB486" s="59"/>
      <c r="AC486" s="45">
        <f t="shared" si="81"/>
        <v>1.000000000000002</v>
      </c>
      <c r="AD486" s="43"/>
      <c r="AE486" s="43"/>
      <c r="AF486" s="97">
        <f t="shared" si="82"/>
        <v>1</v>
      </c>
      <c r="AG486" s="44">
        <f t="shared" si="83"/>
        <v>1.0000000000000004</v>
      </c>
      <c r="AH486" s="55">
        <f t="shared" si="84"/>
        <v>0</v>
      </c>
      <c r="AI486" s="55">
        <f>COUNTIF('Score BD'!$M486:$P486,"no")</f>
        <v>0</v>
      </c>
      <c r="AJ486" s="55" t="str">
        <f t="shared" si="85"/>
        <v>-</v>
      </c>
      <c r="AK486" s="55" t="str">
        <f t="shared" si="86"/>
        <v>-</v>
      </c>
      <c r="AL486" s="55" t="str">
        <f t="shared" si="87"/>
        <v>-</v>
      </c>
      <c r="AM486" s="157"/>
      <c r="AN486" s="55"/>
      <c r="AO486" s="61"/>
      <c r="AP486" s="61"/>
      <c r="AQ486" s="59" t="str">
        <f>IFERROR(_xlfn.XLOOKUP(Tabla1[[#This Row],[Cedula agente]],Lista!$B$2:$B$97,Lista!$G$2:$G$97)," ")</f>
        <v xml:space="preserve"> </v>
      </c>
      <c r="AR486" s="59" t="s">
        <v>162</v>
      </c>
      <c r="AS486" s="55" t="str">
        <f>IFERROR(_xlfn.XLOOKUP(Tabla1[[#This Row],[Cedula agente]],Lista!$B$2:$B$97,Lista!$F$2:$F$97)," ")</f>
        <v xml:space="preserve"> </v>
      </c>
      <c r="AT486" s="99">
        <v>0.95</v>
      </c>
      <c r="AU486" s="200">
        <f>+WEEKNUM('Score BD'!$H486)-WEEKNUM(DATE(YEAR('Score BD'!$H486),MONTH('Score BD'!$H486),1))+1</f>
        <v>0</v>
      </c>
    </row>
    <row r="487" spans="1:47" ht="17.45" customHeight="1" x14ac:dyDescent="0.3">
      <c r="A487" s="49" t="str">
        <f t="shared" si="77"/>
        <v xml:space="preserve"> </v>
      </c>
      <c r="B487" s="50">
        <f>+IFERROR(COUNTIF($J$3:J487,J487)," ")</f>
        <v>0</v>
      </c>
      <c r="C487" s="54" t="str">
        <f>+'Score BD'!$J487&amp;'Score BD'!$B487</f>
        <v>0</v>
      </c>
      <c r="D487" s="91" t="s">
        <v>148</v>
      </c>
      <c r="E487" s="92"/>
      <c r="F487" s="92"/>
      <c r="G487" s="60" t="str">
        <f t="shared" si="78"/>
        <v>Enero</v>
      </c>
      <c r="H487" s="67"/>
      <c r="I487" s="243"/>
      <c r="J487" s="57"/>
      <c r="K487" s="54" t="str">
        <f>IFERROR(VLOOKUP('Score BD'!$J487,Lista!A:B,2,0)," ")</f>
        <v xml:space="preserve"> </v>
      </c>
      <c r="L487" s="61"/>
      <c r="M487" s="59"/>
      <c r="N487" s="59"/>
      <c r="O487" s="59"/>
      <c r="P487" s="59"/>
      <c r="Q487" s="96">
        <f t="shared" si="79"/>
        <v>1</v>
      </c>
      <c r="R487" s="59"/>
      <c r="S487" s="59"/>
      <c r="T487" s="59"/>
      <c r="U487" s="59"/>
      <c r="V487" s="45">
        <f t="shared" si="80"/>
        <v>1</v>
      </c>
      <c r="W487" s="59"/>
      <c r="X487" s="59"/>
      <c r="Y487" s="59"/>
      <c r="Z487" s="59"/>
      <c r="AA487" s="59"/>
      <c r="AB487" s="59"/>
      <c r="AC487" s="45">
        <f t="shared" si="81"/>
        <v>1.000000000000002</v>
      </c>
      <c r="AD487" s="43"/>
      <c r="AE487" s="43"/>
      <c r="AF487" s="97">
        <f t="shared" si="82"/>
        <v>1</v>
      </c>
      <c r="AG487" s="44">
        <f t="shared" si="83"/>
        <v>1.0000000000000004</v>
      </c>
      <c r="AH487" s="55">
        <f t="shared" si="84"/>
        <v>0</v>
      </c>
      <c r="AI487" s="55">
        <f>COUNTIF('Score BD'!$M487:$P487,"no")</f>
        <v>0</v>
      </c>
      <c r="AJ487" s="55" t="str">
        <f t="shared" si="85"/>
        <v>-</v>
      </c>
      <c r="AK487" s="55" t="str">
        <f t="shared" si="86"/>
        <v>-</v>
      </c>
      <c r="AL487" s="55" t="str">
        <f t="shared" si="87"/>
        <v>-</v>
      </c>
      <c r="AM487" s="157"/>
      <c r="AN487" s="55"/>
      <c r="AO487" s="61"/>
      <c r="AP487" s="61"/>
      <c r="AQ487" s="59" t="str">
        <f>IFERROR(_xlfn.XLOOKUP(Tabla1[[#This Row],[Cedula agente]],Lista!$B$2:$B$97,Lista!$G$2:$G$97)," ")</f>
        <v xml:space="preserve"> </v>
      </c>
      <c r="AR487" s="59" t="s">
        <v>162</v>
      </c>
      <c r="AS487" s="55" t="str">
        <f>IFERROR(_xlfn.XLOOKUP(Tabla1[[#This Row],[Cedula agente]],Lista!$B$2:$B$97,Lista!$F$2:$F$97)," ")</f>
        <v xml:space="preserve"> </v>
      </c>
      <c r="AT487" s="99">
        <v>0.95</v>
      </c>
      <c r="AU487" s="200">
        <f>+WEEKNUM('Score BD'!$H487)-WEEKNUM(DATE(YEAR('Score BD'!$H487),MONTH('Score BD'!$H487),1))+1</f>
        <v>0</v>
      </c>
    </row>
    <row r="488" spans="1:47" ht="17.45" customHeight="1" x14ac:dyDescent="0.3">
      <c r="A488" s="49" t="str">
        <f t="shared" si="77"/>
        <v xml:space="preserve"> </v>
      </c>
      <c r="B488" s="50">
        <f>+IFERROR(COUNTIF($J$3:J488,J488)," ")</f>
        <v>0</v>
      </c>
      <c r="C488" s="54" t="str">
        <f>+'Score BD'!$J488&amp;'Score BD'!$B488</f>
        <v>0</v>
      </c>
      <c r="D488" s="91" t="s">
        <v>148</v>
      </c>
      <c r="E488" s="92"/>
      <c r="F488" s="92"/>
      <c r="G488" s="60" t="str">
        <f t="shared" si="78"/>
        <v>Enero</v>
      </c>
      <c r="H488" s="67"/>
      <c r="I488" s="243"/>
      <c r="J488" s="57"/>
      <c r="K488" s="54" t="str">
        <f>IFERROR(VLOOKUP('Score BD'!$J488,Lista!A:B,2,0)," ")</f>
        <v xml:space="preserve"> </v>
      </c>
      <c r="L488" s="61"/>
      <c r="M488" s="59"/>
      <c r="N488" s="59"/>
      <c r="O488" s="59"/>
      <c r="P488" s="59"/>
      <c r="Q488" s="96">
        <f t="shared" si="79"/>
        <v>1</v>
      </c>
      <c r="R488" s="59"/>
      <c r="S488" s="59"/>
      <c r="T488" s="59"/>
      <c r="U488" s="59"/>
      <c r="V488" s="45">
        <f t="shared" si="80"/>
        <v>1</v>
      </c>
      <c r="W488" s="59"/>
      <c r="X488" s="59"/>
      <c r="Y488" s="59"/>
      <c r="Z488" s="59"/>
      <c r="AA488" s="59"/>
      <c r="AB488" s="59"/>
      <c r="AC488" s="45">
        <f t="shared" si="81"/>
        <v>1.000000000000002</v>
      </c>
      <c r="AD488" s="43"/>
      <c r="AE488" s="43"/>
      <c r="AF488" s="97">
        <f t="shared" si="82"/>
        <v>1</v>
      </c>
      <c r="AG488" s="44">
        <f t="shared" si="83"/>
        <v>1.0000000000000004</v>
      </c>
      <c r="AH488" s="55">
        <f t="shared" si="84"/>
        <v>0</v>
      </c>
      <c r="AI488" s="55">
        <f>COUNTIF('Score BD'!$M488:$P488,"no")</f>
        <v>0</v>
      </c>
      <c r="AJ488" s="55" t="str">
        <f t="shared" si="85"/>
        <v>-</v>
      </c>
      <c r="AK488" s="55" t="str">
        <f t="shared" si="86"/>
        <v>-</v>
      </c>
      <c r="AL488" s="55" t="str">
        <f t="shared" si="87"/>
        <v>-</v>
      </c>
      <c r="AM488" s="157"/>
      <c r="AN488" s="55"/>
      <c r="AO488" s="61"/>
      <c r="AP488" s="61"/>
      <c r="AQ488" s="59" t="str">
        <f>IFERROR(_xlfn.XLOOKUP(Tabla1[[#This Row],[Cedula agente]],Lista!$B$2:$B$97,Lista!$G$2:$G$97)," ")</f>
        <v xml:space="preserve"> </v>
      </c>
      <c r="AR488" s="59" t="s">
        <v>162</v>
      </c>
      <c r="AS488" s="55" t="str">
        <f>IFERROR(_xlfn.XLOOKUP(Tabla1[[#This Row],[Cedula agente]],Lista!$B$2:$B$97,Lista!$F$2:$F$97)," ")</f>
        <v xml:space="preserve"> </v>
      </c>
      <c r="AT488" s="99">
        <v>0.95</v>
      </c>
      <c r="AU488" s="200">
        <f>+WEEKNUM('Score BD'!$H488)-WEEKNUM(DATE(YEAR('Score BD'!$H488),MONTH('Score BD'!$H488),1))+1</f>
        <v>0</v>
      </c>
    </row>
    <row r="489" spans="1:47" ht="17.45" customHeight="1" x14ac:dyDescent="0.3">
      <c r="A489" s="49" t="str">
        <f t="shared" si="77"/>
        <v xml:space="preserve"> </v>
      </c>
      <c r="B489" s="50">
        <f>+IFERROR(COUNTIF($J$3:J489,J489)," ")</f>
        <v>0</v>
      </c>
      <c r="C489" s="54" t="str">
        <f>+'Score BD'!$J489&amp;'Score BD'!$B489</f>
        <v>0</v>
      </c>
      <c r="D489" s="91" t="s">
        <v>148</v>
      </c>
      <c r="E489" s="92"/>
      <c r="F489" s="92"/>
      <c r="G489" s="60" t="str">
        <f t="shared" si="78"/>
        <v>Enero</v>
      </c>
      <c r="H489" s="67"/>
      <c r="I489" s="243"/>
      <c r="J489" s="57"/>
      <c r="K489" s="54" t="str">
        <f>IFERROR(VLOOKUP('Score BD'!$J489,Lista!A:B,2,0)," ")</f>
        <v xml:space="preserve"> </v>
      </c>
      <c r="L489" s="61"/>
      <c r="M489" s="59"/>
      <c r="N489" s="59"/>
      <c r="O489" s="59"/>
      <c r="P489" s="59"/>
      <c r="Q489" s="96">
        <f t="shared" si="79"/>
        <v>1</v>
      </c>
      <c r="R489" s="59"/>
      <c r="S489" s="59"/>
      <c r="T489" s="59"/>
      <c r="U489" s="59"/>
      <c r="V489" s="45">
        <f t="shared" si="80"/>
        <v>1</v>
      </c>
      <c r="W489" s="59"/>
      <c r="X489" s="59"/>
      <c r="Y489" s="59"/>
      <c r="Z489" s="59"/>
      <c r="AA489" s="59"/>
      <c r="AB489" s="59"/>
      <c r="AC489" s="45">
        <f t="shared" si="81"/>
        <v>1.000000000000002</v>
      </c>
      <c r="AD489" s="43"/>
      <c r="AE489" s="43"/>
      <c r="AF489" s="97">
        <f t="shared" si="82"/>
        <v>1</v>
      </c>
      <c r="AG489" s="44">
        <f t="shared" si="83"/>
        <v>1.0000000000000004</v>
      </c>
      <c r="AH489" s="55">
        <f t="shared" si="84"/>
        <v>0</v>
      </c>
      <c r="AI489" s="55">
        <f>COUNTIF('Score BD'!$M489:$P489,"no")</f>
        <v>0</v>
      </c>
      <c r="AJ489" s="55" t="str">
        <f t="shared" si="85"/>
        <v>-</v>
      </c>
      <c r="AK489" s="55" t="str">
        <f t="shared" si="86"/>
        <v>-</v>
      </c>
      <c r="AL489" s="55" t="str">
        <f t="shared" si="87"/>
        <v>-</v>
      </c>
      <c r="AM489" s="157"/>
      <c r="AN489" s="55"/>
      <c r="AO489" s="61"/>
      <c r="AP489" s="61"/>
      <c r="AQ489" s="59" t="str">
        <f>IFERROR(_xlfn.XLOOKUP(Tabla1[[#This Row],[Cedula agente]],Lista!$B$2:$B$97,Lista!$G$2:$G$97)," ")</f>
        <v xml:space="preserve"> </v>
      </c>
      <c r="AR489" s="59" t="s">
        <v>162</v>
      </c>
      <c r="AS489" s="55" t="str">
        <f>IFERROR(_xlfn.XLOOKUP(Tabla1[[#This Row],[Cedula agente]],Lista!$B$2:$B$97,Lista!$F$2:$F$97)," ")</f>
        <v xml:space="preserve"> </v>
      </c>
      <c r="AT489" s="99">
        <v>0.95</v>
      </c>
      <c r="AU489" s="200">
        <f>+WEEKNUM('Score BD'!$H489)-WEEKNUM(DATE(YEAR('Score BD'!$H489),MONTH('Score BD'!$H489),1))+1</f>
        <v>0</v>
      </c>
    </row>
    <row r="490" spans="1:47" ht="17.45" customHeight="1" x14ac:dyDescent="0.3">
      <c r="A490" s="49" t="str">
        <f t="shared" si="77"/>
        <v xml:space="preserve"> </v>
      </c>
      <c r="B490" s="50">
        <f>+IFERROR(COUNTIF($J$3:J490,J490)," ")</f>
        <v>0</v>
      </c>
      <c r="C490" s="54" t="str">
        <f>+'Score BD'!$J490&amp;'Score BD'!$B490</f>
        <v>0</v>
      </c>
      <c r="D490" s="91" t="s">
        <v>148</v>
      </c>
      <c r="E490" s="92"/>
      <c r="F490" s="92"/>
      <c r="G490" s="60" t="str">
        <f t="shared" si="78"/>
        <v>Enero</v>
      </c>
      <c r="H490" s="67"/>
      <c r="I490" s="243"/>
      <c r="J490" s="57"/>
      <c r="K490" s="54" t="str">
        <f>IFERROR(VLOOKUP('Score BD'!$J490,Lista!A:B,2,0)," ")</f>
        <v xml:space="preserve"> </v>
      </c>
      <c r="L490" s="61"/>
      <c r="M490" s="59"/>
      <c r="N490" s="59"/>
      <c r="O490" s="59"/>
      <c r="P490" s="59"/>
      <c r="Q490" s="96">
        <f t="shared" si="79"/>
        <v>1</v>
      </c>
      <c r="R490" s="59"/>
      <c r="S490" s="59"/>
      <c r="T490" s="59"/>
      <c r="U490" s="59"/>
      <c r="V490" s="45">
        <f t="shared" si="80"/>
        <v>1</v>
      </c>
      <c r="W490" s="59"/>
      <c r="X490" s="59"/>
      <c r="Y490" s="59"/>
      <c r="Z490" s="59"/>
      <c r="AA490" s="59"/>
      <c r="AB490" s="59"/>
      <c r="AC490" s="45">
        <f t="shared" si="81"/>
        <v>1.000000000000002</v>
      </c>
      <c r="AD490" s="43"/>
      <c r="AE490" s="43"/>
      <c r="AF490" s="97">
        <f t="shared" si="82"/>
        <v>1</v>
      </c>
      <c r="AG490" s="44">
        <f t="shared" si="83"/>
        <v>1.0000000000000004</v>
      </c>
      <c r="AH490" s="55">
        <f t="shared" si="84"/>
        <v>0</v>
      </c>
      <c r="AI490" s="55">
        <f>COUNTIF('Score BD'!$M490:$P490,"no")</f>
        <v>0</v>
      </c>
      <c r="AJ490" s="55" t="str">
        <f t="shared" si="85"/>
        <v>-</v>
      </c>
      <c r="AK490" s="55" t="str">
        <f t="shared" si="86"/>
        <v>-</v>
      </c>
      <c r="AL490" s="55" t="str">
        <f t="shared" si="87"/>
        <v>-</v>
      </c>
      <c r="AM490" s="157"/>
      <c r="AN490" s="55"/>
      <c r="AO490" s="61"/>
      <c r="AP490" s="61"/>
      <c r="AQ490" s="59" t="str">
        <f>IFERROR(_xlfn.XLOOKUP(Tabla1[[#This Row],[Cedula agente]],Lista!$B$2:$B$97,Lista!$G$2:$G$97)," ")</f>
        <v xml:space="preserve"> </v>
      </c>
      <c r="AR490" s="59" t="s">
        <v>162</v>
      </c>
      <c r="AS490" s="55" t="str">
        <f>IFERROR(_xlfn.XLOOKUP(Tabla1[[#This Row],[Cedula agente]],Lista!$B$2:$B$97,Lista!$F$2:$F$97)," ")</f>
        <v xml:space="preserve"> </v>
      </c>
      <c r="AT490" s="99">
        <v>0.95</v>
      </c>
      <c r="AU490" s="200">
        <f>+WEEKNUM('Score BD'!$H490)-WEEKNUM(DATE(YEAR('Score BD'!$H490),MONTH('Score BD'!$H490),1))+1</f>
        <v>0</v>
      </c>
    </row>
    <row r="491" spans="1:47" ht="17.45" customHeight="1" x14ac:dyDescent="0.3">
      <c r="A491" s="49" t="str">
        <f t="shared" si="77"/>
        <v xml:space="preserve"> </v>
      </c>
      <c r="B491" s="50">
        <f>+IFERROR(COUNTIF($J$3:J491,J491)," ")</f>
        <v>0</v>
      </c>
      <c r="C491" s="54" t="str">
        <f>+'Score BD'!$J491&amp;'Score BD'!$B491</f>
        <v>0</v>
      </c>
      <c r="D491" s="91" t="s">
        <v>148</v>
      </c>
      <c r="E491" s="92"/>
      <c r="F491" s="92"/>
      <c r="G491" s="60" t="str">
        <f t="shared" si="78"/>
        <v>Enero</v>
      </c>
      <c r="H491" s="67"/>
      <c r="I491" s="243"/>
      <c r="J491" s="57"/>
      <c r="K491" s="54" t="str">
        <f>IFERROR(VLOOKUP('Score BD'!$J491,Lista!A:B,2,0)," ")</f>
        <v xml:space="preserve"> </v>
      </c>
      <c r="L491" s="61"/>
      <c r="M491" s="59"/>
      <c r="N491" s="59"/>
      <c r="O491" s="59"/>
      <c r="P491" s="59"/>
      <c r="Q491" s="96">
        <f t="shared" si="79"/>
        <v>1</v>
      </c>
      <c r="R491" s="59"/>
      <c r="S491" s="59"/>
      <c r="T491" s="59"/>
      <c r="U491" s="59"/>
      <c r="V491" s="45">
        <f t="shared" si="80"/>
        <v>1</v>
      </c>
      <c r="W491" s="59"/>
      <c r="X491" s="59"/>
      <c r="Y491" s="59"/>
      <c r="Z491" s="59"/>
      <c r="AA491" s="59"/>
      <c r="AB491" s="59"/>
      <c r="AC491" s="45">
        <f t="shared" si="81"/>
        <v>1.000000000000002</v>
      </c>
      <c r="AD491" s="43"/>
      <c r="AE491" s="43"/>
      <c r="AF491" s="97">
        <f t="shared" si="82"/>
        <v>1</v>
      </c>
      <c r="AG491" s="44">
        <f t="shared" si="83"/>
        <v>1.0000000000000004</v>
      </c>
      <c r="AH491" s="55">
        <f t="shared" si="84"/>
        <v>0</v>
      </c>
      <c r="AI491" s="55">
        <f>COUNTIF('Score BD'!$M491:$P491,"no")</f>
        <v>0</v>
      </c>
      <c r="AJ491" s="55" t="str">
        <f t="shared" si="85"/>
        <v>-</v>
      </c>
      <c r="AK491" s="55" t="str">
        <f t="shared" si="86"/>
        <v>-</v>
      </c>
      <c r="AL491" s="55" t="str">
        <f t="shared" si="87"/>
        <v>-</v>
      </c>
      <c r="AM491" s="157"/>
      <c r="AN491" s="55"/>
      <c r="AO491" s="61"/>
      <c r="AP491" s="61"/>
      <c r="AQ491" s="59" t="str">
        <f>IFERROR(_xlfn.XLOOKUP(Tabla1[[#This Row],[Cedula agente]],Lista!$B$2:$B$97,Lista!$G$2:$G$97)," ")</f>
        <v xml:space="preserve"> </v>
      </c>
      <c r="AR491" s="59" t="s">
        <v>162</v>
      </c>
      <c r="AS491" s="55" t="str">
        <f>IFERROR(_xlfn.XLOOKUP(Tabla1[[#This Row],[Cedula agente]],Lista!$B$2:$B$97,Lista!$F$2:$F$97)," ")</f>
        <v xml:space="preserve"> </v>
      </c>
      <c r="AT491" s="99">
        <v>0.95</v>
      </c>
      <c r="AU491" s="200">
        <f>+WEEKNUM('Score BD'!$H491)-WEEKNUM(DATE(YEAR('Score BD'!$H491),MONTH('Score BD'!$H491),1))+1</f>
        <v>0</v>
      </c>
    </row>
    <row r="492" spans="1:47" ht="17.45" customHeight="1" x14ac:dyDescent="0.3">
      <c r="A492" s="49" t="str">
        <f t="shared" si="77"/>
        <v xml:space="preserve"> </v>
      </c>
      <c r="B492" s="50">
        <f>+IFERROR(COUNTIF($J$3:J492,J492)," ")</f>
        <v>0</v>
      </c>
      <c r="C492" s="54" t="str">
        <f>+'Score BD'!$J492&amp;'Score BD'!$B492</f>
        <v>0</v>
      </c>
      <c r="D492" s="91" t="s">
        <v>148</v>
      </c>
      <c r="E492" s="92"/>
      <c r="F492" s="92"/>
      <c r="G492" s="60" t="str">
        <f t="shared" si="78"/>
        <v>Enero</v>
      </c>
      <c r="H492" s="67"/>
      <c r="I492" s="243"/>
      <c r="J492" s="57"/>
      <c r="K492" s="54" t="str">
        <f>IFERROR(VLOOKUP('Score BD'!$J492,Lista!A:B,2,0)," ")</f>
        <v xml:space="preserve"> </v>
      </c>
      <c r="L492" s="61"/>
      <c r="M492" s="59"/>
      <c r="N492" s="59"/>
      <c r="O492" s="59"/>
      <c r="P492" s="59"/>
      <c r="Q492" s="96">
        <f t="shared" si="79"/>
        <v>1</v>
      </c>
      <c r="R492" s="59"/>
      <c r="S492" s="59"/>
      <c r="T492" s="59"/>
      <c r="U492" s="59"/>
      <c r="V492" s="45">
        <f t="shared" si="80"/>
        <v>1</v>
      </c>
      <c r="W492" s="59"/>
      <c r="X492" s="59"/>
      <c r="Y492" s="59"/>
      <c r="Z492" s="59"/>
      <c r="AA492" s="59"/>
      <c r="AB492" s="59"/>
      <c r="AC492" s="45">
        <f t="shared" si="81"/>
        <v>1.000000000000002</v>
      </c>
      <c r="AD492" s="43"/>
      <c r="AE492" s="43"/>
      <c r="AF492" s="97">
        <f t="shared" si="82"/>
        <v>1</v>
      </c>
      <c r="AG492" s="44">
        <f t="shared" si="83"/>
        <v>1.0000000000000004</v>
      </c>
      <c r="AH492" s="55">
        <f t="shared" si="84"/>
        <v>0</v>
      </c>
      <c r="AI492" s="55">
        <f>COUNTIF('Score BD'!$M492:$P492,"no")</f>
        <v>0</v>
      </c>
      <c r="AJ492" s="55" t="str">
        <f t="shared" si="85"/>
        <v>-</v>
      </c>
      <c r="AK492" s="55" t="str">
        <f t="shared" si="86"/>
        <v>-</v>
      </c>
      <c r="AL492" s="55" t="str">
        <f t="shared" si="87"/>
        <v>-</v>
      </c>
      <c r="AM492" s="157"/>
      <c r="AN492" s="55"/>
      <c r="AO492" s="61"/>
      <c r="AP492" s="61"/>
      <c r="AQ492" s="59" t="str">
        <f>IFERROR(_xlfn.XLOOKUP(Tabla1[[#This Row],[Cedula agente]],Lista!$B$2:$B$97,Lista!$G$2:$G$97)," ")</f>
        <v xml:space="preserve"> </v>
      </c>
      <c r="AR492" s="59" t="s">
        <v>162</v>
      </c>
      <c r="AS492" s="55" t="str">
        <f>IFERROR(_xlfn.XLOOKUP(Tabla1[[#This Row],[Cedula agente]],Lista!$B$2:$B$97,Lista!$F$2:$F$97)," ")</f>
        <v xml:space="preserve"> </v>
      </c>
      <c r="AT492" s="99">
        <v>0.95</v>
      </c>
      <c r="AU492" s="200">
        <f>+WEEKNUM('Score BD'!$H492)-WEEKNUM(DATE(YEAR('Score BD'!$H492),MONTH('Score BD'!$H492),1))+1</f>
        <v>0</v>
      </c>
    </row>
    <row r="493" spans="1:47" ht="17.45" customHeight="1" x14ac:dyDescent="0.3">
      <c r="A493" s="49" t="str">
        <f t="shared" si="77"/>
        <v xml:space="preserve"> </v>
      </c>
      <c r="B493" s="50">
        <f>+IFERROR(COUNTIF($J$3:J493,J493)," ")</f>
        <v>0</v>
      </c>
      <c r="C493" s="54" t="str">
        <f>+'Score BD'!$J493&amp;'Score BD'!$B493</f>
        <v>0</v>
      </c>
      <c r="D493" s="91" t="s">
        <v>148</v>
      </c>
      <c r="E493" s="92"/>
      <c r="F493" s="92"/>
      <c r="G493" s="60" t="str">
        <f t="shared" si="78"/>
        <v>Enero</v>
      </c>
      <c r="H493" s="67"/>
      <c r="I493" s="243"/>
      <c r="J493" s="57"/>
      <c r="K493" s="54" t="str">
        <f>IFERROR(VLOOKUP('Score BD'!$J493,Lista!A:B,2,0)," ")</f>
        <v xml:space="preserve"> </v>
      </c>
      <c r="L493" s="61"/>
      <c r="M493" s="59"/>
      <c r="N493" s="59"/>
      <c r="O493" s="59"/>
      <c r="P493" s="59"/>
      <c r="Q493" s="96">
        <f t="shared" si="79"/>
        <v>1</v>
      </c>
      <c r="R493" s="59"/>
      <c r="S493" s="59"/>
      <c r="T493" s="59"/>
      <c r="U493" s="59"/>
      <c r="V493" s="45">
        <f t="shared" si="80"/>
        <v>1</v>
      </c>
      <c r="W493" s="59"/>
      <c r="X493" s="59"/>
      <c r="Y493" s="59"/>
      <c r="Z493" s="59"/>
      <c r="AA493" s="59"/>
      <c r="AB493" s="59"/>
      <c r="AC493" s="45">
        <f t="shared" si="81"/>
        <v>1.000000000000002</v>
      </c>
      <c r="AD493" s="43"/>
      <c r="AE493" s="43"/>
      <c r="AF493" s="97">
        <f t="shared" si="82"/>
        <v>1</v>
      </c>
      <c r="AG493" s="44">
        <f t="shared" si="83"/>
        <v>1.0000000000000004</v>
      </c>
      <c r="AH493" s="55">
        <f t="shared" si="84"/>
        <v>0</v>
      </c>
      <c r="AI493" s="55">
        <f>COUNTIF('Score BD'!$M493:$P493,"no")</f>
        <v>0</v>
      </c>
      <c r="AJ493" s="55" t="str">
        <f t="shared" si="85"/>
        <v>-</v>
      </c>
      <c r="AK493" s="55" t="str">
        <f t="shared" si="86"/>
        <v>-</v>
      </c>
      <c r="AL493" s="55" t="str">
        <f t="shared" si="87"/>
        <v>-</v>
      </c>
      <c r="AM493" s="157"/>
      <c r="AN493" s="55"/>
      <c r="AO493" s="61"/>
      <c r="AP493" s="61"/>
      <c r="AQ493" s="59" t="str">
        <f>IFERROR(_xlfn.XLOOKUP(Tabla1[[#This Row],[Cedula agente]],Lista!$B$2:$B$97,Lista!$G$2:$G$97)," ")</f>
        <v xml:space="preserve"> </v>
      </c>
      <c r="AR493" s="59" t="s">
        <v>162</v>
      </c>
      <c r="AS493" s="55" t="str">
        <f>IFERROR(_xlfn.XLOOKUP(Tabla1[[#This Row],[Cedula agente]],Lista!$B$2:$B$97,Lista!$F$2:$F$97)," ")</f>
        <v xml:space="preserve"> </v>
      </c>
      <c r="AT493" s="99">
        <v>0.95</v>
      </c>
      <c r="AU493" s="200">
        <f>+WEEKNUM('Score BD'!$H493)-WEEKNUM(DATE(YEAR('Score BD'!$H493),MONTH('Score BD'!$H493),1))+1</f>
        <v>0</v>
      </c>
    </row>
    <row r="494" spans="1:47" ht="17.45" customHeight="1" x14ac:dyDescent="0.3">
      <c r="A494" s="49" t="str">
        <f t="shared" si="77"/>
        <v xml:space="preserve"> </v>
      </c>
      <c r="B494" s="50">
        <f>+IFERROR(COUNTIF($J$3:J494,J494)," ")</f>
        <v>0</v>
      </c>
      <c r="C494" s="54" t="str">
        <f>+'Score BD'!$J494&amp;'Score BD'!$B494</f>
        <v>0</v>
      </c>
      <c r="D494" s="91" t="s">
        <v>148</v>
      </c>
      <c r="E494" s="92"/>
      <c r="F494" s="92"/>
      <c r="G494" s="60" t="str">
        <f t="shared" si="78"/>
        <v>Enero</v>
      </c>
      <c r="H494" s="67"/>
      <c r="I494" s="243"/>
      <c r="J494" s="57"/>
      <c r="K494" s="54" t="str">
        <f>IFERROR(VLOOKUP('Score BD'!$J494,Lista!A:B,2,0)," ")</f>
        <v xml:space="preserve"> </v>
      </c>
      <c r="L494" s="61"/>
      <c r="M494" s="59"/>
      <c r="N494" s="59"/>
      <c r="O494" s="59"/>
      <c r="P494" s="59"/>
      <c r="Q494" s="96">
        <f t="shared" si="79"/>
        <v>1</v>
      </c>
      <c r="R494" s="59"/>
      <c r="S494" s="59"/>
      <c r="T494" s="59"/>
      <c r="U494" s="59"/>
      <c r="V494" s="45">
        <f t="shared" si="80"/>
        <v>1</v>
      </c>
      <c r="W494" s="59"/>
      <c r="X494" s="59"/>
      <c r="Y494" s="59"/>
      <c r="Z494" s="59"/>
      <c r="AA494" s="59"/>
      <c r="AB494" s="59"/>
      <c r="AC494" s="45">
        <f t="shared" si="81"/>
        <v>1.000000000000002</v>
      </c>
      <c r="AD494" s="43"/>
      <c r="AE494" s="43"/>
      <c r="AF494" s="97">
        <f t="shared" si="82"/>
        <v>1</v>
      </c>
      <c r="AG494" s="44">
        <f t="shared" si="83"/>
        <v>1.0000000000000004</v>
      </c>
      <c r="AH494" s="55">
        <f t="shared" si="84"/>
        <v>0</v>
      </c>
      <c r="AI494" s="55">
        <f>COUNTIF('Score BD'!$M494:$P494,"no")</f>
        <v>0</v>
      </c>
      <c r="AJ494" s="55" t="str">
        <f t="shared" si="85"/>
        <v>-</v>
      </c>
      <c r="AK494" s="55" t="str">
        <f t="shared" si="86"/>
        <v>-</v>
      </c>
      <c r="AL494" s="55" t="str">
        <f t="shared" si="87"/>
        <v>-</v>
      </c>
      <c r="AM494" s="157"/>
      <c r="AN494" s="55"/>
      <c r="AO494" s="61"/>
      <c r="AP494" s="61"/>
      <c r="AQ494" s="59" t="str">
        <f>IFERROR(_xlfn.XLOOKUP(Tabla1[[#This Row],[Cedula agente]],Lista!$B$2:$B$97,Lista!$G$2:$G$97)," ")</f>
        <v xml:space="preserve"> </v>
      </c>
      <c r="AR494" s="59" t="s">
        <v>162</v>
      </c>
      <c r="AS494" s="55" t="str">
        <f>IFERROR(_xlfn.XLOOKUP(Tabla1[[#This Row],[Cedula agente]],Lista!$B$2:$B$97,Lista!$F$2:$F$97)," ")</f>
        <v xml:space="preserve"> </v>
      </c>
      <c r="AT494" s="99">
        <v>0.95</v>
      </c>
      <c r="AU494" s="200">
        <f>+WEEKNUM('Score BD'!$H494)-WEEKNUM(DATE(YEAR('Score BD'!$H494),MONTH('Score BD'!$H494),1))+1</f>
        <v>0</v>
      </c>
    </row>
    <row r="495" spans="1:47" ht="17.45" customHeight="1" x14ac:dyDescent="0.3">
      <c r="A495" s="49" t="str">
        <f t="shared" si="77"/>
        <v xml:space="preserve"> </v>
      </c>
      <c r="B495" s="50">
        <f>+IFERROR(COUNTIF($J$3:J495,J495)," ")</f>
        <v>0</v>
      </c>
      <c r="C495" s="54" t="str">
        <f>+'Score BD'!$J495&amp;'Score BD'!$B495</f>
        <v>0</v>
      </c>
      <c r="D495" s="91" t="s">
        <v>148</v>
      </c>
      <c r="E495" s="92"/>
      <c r="F495" s="92"/>
      <c r="G495" s="60" t="str">
        <f t="shared" si="78"/>
        <v>Enero</v>
      </c>
      <c r="H495" s="67"/>
      <c r="I495" s="243"/>
      <c r="J495" s="57"/>
      <c r="K495" s="54" t="str">
        <f>IFERROR(VLOOKUP('Score BD'!$J495,Lista!A:B,2,0)," ")</f>
        <v xml:space="preserve"> </v>
      </c>
      <c r="L495" s="61"/>
      <c r="M495" s="59"/>
      <c r="N495" s="59"/>
      <c r="O495" s="59"/>
      <c r="P495" s="59"/>
      <c r="Q495" s="96">
        <f t="shared" si="79"/>
        <v>1</v>
      </c>
      <c r="R495" s="59"/>
      <c r="S495" s="59"/>
      <c r="T495" s="59"/>
      <c r="U495" s="59"/>
      <c r="V495" s="45">
        <f t="shared" si="80"/>
        <v>1</v>
      </c>
      <c r="W495" s="59"/>
      <c r="X495" s="59"/>
      <c r="Y495" s="59"/>
      <c r="Z495" s="59"/>
      <c r="AA495" s="59"/>
      <c r="AB495" s="59"/>
      <c r="AC495" s="45">
        <f t="shared" si="81"/>
        <v>1.000000000000002</v>
      </c>
      <c r="AD495" s="43"/>
      <c r="AE495" s="43"/>
      <c r="AF495" s="97">
        <f t="shared" si="82"/>
        <v>1</v>
      </c>
      <c r="AG495" s="44">
        <f t="shared" si="83"/>
        <v>1.0000000000000004</v>
      </c>
      <c r="AH495" s="55">
        <f t="shared" si="84"/>
        <v>0</v>
      </c>
      <c r="AI495" s="55">
        <f>COUNTIF('Score BD'!$M495:$P495,"no")</f>
        <v>0</v>
      </c>
      <c r="AJ495" s="55" t="str">
        <f t="shared" si="85"/>
        <v>-</v>
      </c>
      <c r="AK495" s="55" t="str">
        <f t="shared" si="86"/>
        <v>-</v>
      </c>
      <c r="AL495" s="55" t="str">
        <f t="shared" si="87"/>
        <v>-</v>
      </c>
      <c r="AM495" s="157"/>
      <c r="AN495" s="55"/>
      <c r="AO495" s="61"/>
      <c r="AP495" s="61"/>
      <c r="AQ495" s="59" t="str">
        <f>IFERROR(_xlfn.XLOOKUP(Tabla1[[#This Row],[Cedula agente]],Lista!$B$2:$B$97,Lista!$G$2:$G$97)," ")</f>
        <v xml:space="preserve"> </v>
      </c>
      <c r="AR495" s="59" t="s">
        <v>162</v>
      </c>
      <c r="AS495" s="55" t="str">
        <f>IFERROR(_xlfn.XLOOKUP(Tabla1[[#This Row],[Cedula agente]],Lista!$B$2:$B$97,Lista!$F$2:$F$97)," ")</f>
        <v xml:space="preserve"> </v>
      </c>
      <c r="AT495" s="99">
        <v>0.95</v>
      </c>
      <c r="AU495" s="200">
        <f>+WEEKNUM('Score BD'!$H495)-WEEKNUM(DATE(YEAR('Score BD'!$H495),MONTH('Score BD'!$H495),1))+1</f>
        <v>0</v>
      </c>
    </row>
    <row r="496" spans="1:47" ht="17.45" customHeight="1" x14ac:dyDescent="0.3">
      <c r="A496" s="49" t="str">
        <f t="shared" si="77"/>
        <v xml:space="preserve"> </v>
      </c>
      <c r="B496" s="50">
        <f>+IFERROR(COUNTIF($J$3:J496,J496)," ")</f>
        <v>0</v>
      </c>
      <c r="C496" s="54" t="str">
        <f>+'Score BD'!$J496&amp;'Score BD'!$B496</f>
        <v>0</v>
      </c>
      <c r="D496" s="91" t="s">
        <v>148</v>
      </c>
      <c r="E496" s="92"/>
      <c r="F496" s="92"/>
      <c r="G496" s="60" t="str">
        <f t="shared" si="78"/>
        <v>Enero</v>
      </c>
      <c r="H496" s="67"/>
      <c r="I496" s="243"/>
      <c r="J496" s="57"/>
      <c r="K496" s="54" t="str">
        <f>IFERROR(VLOOKUP('Score BD'!$J496,Lista!A:B,2,0)," ")</f>
        <v xml:space="preserve"> </v>
      </c>
      <c r="L496" s="61"/>
      <c r="M496" s="59"/>
      <c r="N496" s="59"/>
      <c r="O496" s="59"/>
      <c r="P496" s="59"/>
      <c r="Q496" s="96">
        <f t="shared" si="79"/>
        <v>1</v>
      </c>
      <c r="R496" s="59"/>
      <c r="S496" s="59"/>
      <c r="T496" s="59"/>
      <c r="U496" s="59"/>
      <c r="V496" s="45">
        <f t="shared" si="80"/>
        <v>1</v>
      </c>
      <c r="W496" s="59"/>
      <c r="X496" s="59"/>
      <c r="Y496" s="59"/>
      <c r="Z496" s="59"/>
      <c r="AA496" s="59"/>
      <c r="AB496" s="59"/>
      <c r="AC496" s="45">
        <f t="shared" si="81"/>
        <v>1.000000000000002</v>
      </c>
      <c r="AD496" s="43"/>
      <c r="AE496" s="43"/>
      <c r="AF496" s="97">
        <f t="shared" si="82"/>
        <v>1</v>
      </c>
      <c r="AG496" s="44">
        <f t="shared" si="83"/>
        <v>1.0000000000000004</v>
      </c>
      <c r="AH496" s="55">
        <f t="shared" si="84"/>
        <v>0</v>
      </c>
      <c r="AI496" s="55">
        <f>COUNTIF('Score BD'!$M496:$P496,"no")</f>
        <v>0</v>
      </c>
      <c r="AJ496" s="55" t="str">
        <f t="shared" si="85"/>
        <v>-</v>
      </c>
      <c r="AK496" s="55" t="str">
        <f t="shared" si="86"/>
        <v>-</v>
      </c>
      <c r="AL496" s="55" t="str">
        <f t="shared" si="87"/>
        <v>-</v>
      </c>
      <c r="AM496" s="157"/>
      <c r="AN496" s="55"/>
      <c r="AO496" s="61"/>
      <c r="AP496" s="61"/>
      <c r="AQ496" s="59" t="str">
        <f>IFERROR(_xlfn.XLOOKUP(Tabla1[[#This Row],[Cedula agente]],Lista!$B$2:$B$97,Lista!$G$2:$G$97)," ")</f>
        <v xml:space="preserve"> </v>
      </c>
      <c r="AR496" s="59" t="s">
        <v>162</v>
      </c>
      <c r="AS496" s="55" t="str">
        <f>IFERROR(_xlfn.XLOOKUP(Tabla1[[#This Row],[Cedula agente]],Lista!$B$2:$B$97,Lista!$F$2:$F$97)," ")</f>
        <v xml:space="preserve"> </v>
      </c>
      <c r="AT496" s="99">
        <v>0.95</v>
      </c>
      <c r="AU496" s="200">
        <f>+WEEKNUM('Score BD'!$H496)-WEEKNUM(DATE(YEAR('Score BD'!$H496),MONTH('Score BD'!$H496),1))+1</f>
        <v>0</v>
      </c>
    </row>
    <row r="497" spans="1:47" ht="17.45" customHeight="1" x14ac:dyDescent="0.3">
      <c r="A497" s="49" t="str">
        <f t="shared" si="77"/>
        <v xml:space="preserve"> </v>
      </c>
      <c r="B497" s="50">
        <f>+IFERROR(COUNTIF($J$3:J497,J497)," ")</f>
        <v>0</v>
      </c>
      <c r="C497" s="54" t="str">
        <f>+'Score BD'!$J497&amp;'Score BD'!$B497</f>
        <v>0</v>
      </c>
      <c r="D497" s="91" t="s">
        <v>148</v>
      </c>
      <c r="E497" s="92"/>
      <c r="F497" s="92"/>
      <c r="G497" s="60" t="str">
        <f t="shared" si="78"/>
        <v>Enero</v>
      </c>
      <c r="H497" s="67"/>
      <c r="I497" s="243"/>
      <c r="J497" s="57"/>
      <c r="K497" s="54" t="str">
        <f>IFERROR(VLOOKUP('Score BD'!$J497,Lista!A:B,2,0)," ")</f>
        <v xml:space="preserve"> </v>
      </c>
      <c r="L497" s="61"/>
      <c r="M497" s="59"/>
      <c r="N497" s="59"/>
      <c r="O497" s="59"/>
      <c r="P497" s="59"/>
      <c r="Q497" s="96">
        <f t="shared" si="79"/>
        <v>1</v>
      </c>
      <c r="R497" s="59"/>
      <c r="S497" s="59"/>
      <c r="T497" s="59"/>
      <c r="U497" s="59"/>
      <c r="V497" s="45">
        <f t="shared" si="80"/>
        <v>1</v>
      </c>
      <c r="W497" s="59"/>
      <c r="X497" s="59"/>
      <c r="Y497" s="59"/>
      <c r="Z497" s="59"/>
      <c r="AA497" s="59"/>
      <c r="AB497" s="59"/>
      <c r="AC497" s="45">
        <f t="shared" si="81"/>
        <v>1.000000000000002</v>
      </c>
      <c r="AD497" s="43"/>
      <c r="AE497" s="43"/>
      <c r="AF497" s="97">
        <f t="shared" si="82"/>
        <v>1</v>
      </c>
      <c r="AG497" s="44">
        <f t="shared" si="83"/>
        <v>1.0000000000000004</v>
      </c>
      <c r="AH497" s="55">
        <f t="shared" si="84"/>
        <v>0</v>
      </c>
      <c r="AI497" s="55">
        <f>COUNTIF('Score BD'!$M497:$P497,"no")</f>
        <v>0</v>
      </c>
      <c r="AJ497" s="55" t="str">
        <f t="shared" si="85"/>
        <v>-</v>
      </c>
      <c r="AK497" s="55" t="str">
        <f t="shared" si="86"/>
        <v>-</v>
      </c>
      <c r="AL497" s="55" t="str">
        <f t="shared" si="87"/>
        <v>-</v>
      </c>
      <c r="AM497" s="157"/>
      <c r="AN497" s="55"/>
      <c r="AO497" s="61"/>
      <c r="AP497" s="61"/>
      <c r="AQ497" s="59" t="str">
        <f>IFERROR(_xlfn.XLOOKUP(Tabla1[[#This Row],[Cedula agente]],Lista!$B$2:$B$97,Lista!$G$2:$G$97)," ")</f>
        <v xml:space="preserve"> </v>
      </c>
      <c r="AR497" s="59" t="s">
        <v>162</v>
      </c>
      <c r="AS497" s="55" t="str">
        <f>IFERROR(_xlfn.XLOOKUP(Tabla1[[#This Row],[Cedula agente]],Lista!$B$2:$B$97,Lista!$F$2:$F$97)," ")</f>
        <v xml:space="preserve"> </v>
      </c>
      <c r="AT497" s="99">
        <v>0.95</v>
      </c>
      <c r="AU497" s="200">
        <f>+WEEKNUM('Score BD'!$H497)-WEEKNUM(DATE(YEAR('Score BD'!$H497),MONTH('Score BD'!$H497),1))+1</f>
        <v>0</v>
      </c>
    </row>
    <row r="498" spans="1:47" ht="17.45" customHeight="1" x14ac:dyDescent="0.3">
      <c r="A498" s="49" t="str">
        <f t="shared" si="77"/>
        <v xml:space="preserve"> </v>
      </c>
      <c r="B498" s="50">
        <f>+IFERROR(COUNTIF($J$3:J498,J498)," ")</f>
        <v>0</v>
      </c>
      <c r="C498" s="54" t="str">
        <f>+'Score BD'!$J498&amp;'Score BD'!$B498</f>
        <v>0</v>
      </c>
      <c r="D498" s="91"/>
      <c r="E498" s="92"/>
      <c r="F498" s="92"/>
      <c r="G498" s="60" t="str">
        <f t="shared" si="78"/>
        <v>Enero</v>
      </c>
      <c r="H498" s="67"/>
      <c r="I498" s="243"/>
      <c r="J498" s="58"/>
      <c r="K498" s="54" t="str">
        <f>IFERROR(VLOOKUP('Score BD'!$J498,Lista!A:B,2,0)," ")</f>
        <v xml:space="preserve"> </v>
      </c>
      <c r="L498" s="61"/>
      <c r="M498" s="43"/>
      <c r="N498" s="43"/>
      <c r="O498" s="43"/>
      <c r="P498" s="43"/>
      <c r="Q498" s="96">
        <f t="shared" si="79"/>
        <v>1</v>
      </c>
      <c r="R498" s="43"/>
      <c r="S498" s="43"/>
      <c r="T498" s="43"/>
      <c r="U498" s="43"/>
      <c r="V498" s="45">
        <f t="shared" si="80"/>
        <v>1</v>
      </c>
      <c r="W498" s="43"/>
      <c r="X498" s="43"/>
      <c r="Y498" s="43"/>
      <c r="Z498" s="43"/>
      <c r="AA498" s="43"/>
      <c r="AB498" s="43"/>
      <c r="AC498" s="45">
        <f t="shared" si="81"/>
        <v>1.000000000000002</v>
      </c>
      <c r="AD498" s="43"/>
      <c r="AE498" s="43"/>
      <c r="AF498" s="97">
        <f t="shared" si="82"/>
        <v>1</v>
      </c>
      <c r="AG498" s="44">
        <f t="shared" si="83"/>
        <v>1.0000000000000004</v>
      </c>
      <c r="AH498" s="55">
        <f t="shared" si="84"/>
        <v>0</v>
      </c>
      <c r="AI498" s="55">
        <f>COUNTIF('Score BD'!$M498:$P498,"no")</f>
        <v>0</v>
      </c>
      <c r="AJ498" s="55" t="str">
        <f t="shared" si="85"/>
        <v>-</v>
      </c>
      <c r="AK498" s="55" t="str">
        <f t="shared" si="86"/>
        <v>-</v>
      </c>
      <c r="AL498" s="55" t="str">
        <f t="shared" si="87"/>
        <v>-</v>
      </c>
      <c r="AM498" s="56"/>
      <c r="AN498" s="55"/>
      <c r="AO498" s="61"/>
      <c r="AP498" s="61"/>
      <c r="AQ498" s="59" t="str">
        <f>IFERROR(_xlfn.XLOOKUP(Tabla1[[#This Row],[Cedula agente]],Lista!$B$2:$B$97,Lista!$G$2:$G$97)," ")</f>
        <v xml:space="preserve"> </v>
      </c>
      <c r="AR498" s="59"/>
      <c r="AS498" s="55" t="str">
        <f>IFERROR(_xlfn.XLOOKUP(Tabla1[[#This Row],[Cedula agente]],Lista!$B$2:$B$97,Lista!$F$2:$F$97)," ")</f>
        <v xml:space="preserve"> </v>
      </c>
      <c r="AT498" s="99">
        <v>0.95</v>
      </c>
      <c r="AU498" s="200">
        <f>+WEEKNUM('Score BD'!$H498)-WEEKNUM(DATE(YEAR('Score BD'!$H498),MONTH('Score BD'!$H498),1))+1</f>
        <v>0</v>
      </c>
    </row>
    <row r="499" spans="1:47" ht="17.45" customHeight="1" x14ac:dyDescent="0.3">
      <c r="A499" s="49" t="str">
        <f t="shared" si="77"/>
        <v xml:space="preserve"> </v>
      </c>
      <c r="B499" s="50">
        <f>+IFERROR(COUNTIF($J$3:J499,J499)," ")</f>
        <v>0</v>
      </c>
      <c r="C499" s="54" t="str">
        <f>+'Score BD'!$J499&amp;'Score BD'!$B499</f>
        <v>0</v>
      </c>
      <c r="D499" s="91"/>
      <c r="E499" s="92"/>
      <c r="F499" s="92"/>
      <c r="G499" s="60" t="str">
        <f t="shared" si="78"/>
        <v>Enero</v>
      </c>
      <c r="H499" s="67"/>
      <c r="I499" s="243"/>
      <c r="J499" s="58"/>
      <c r="K499" s="54" t="str">
        <f>IFERROR(VLOOKUP('Score BD'!$J499,Lista!A:B,2,0)," ")</f>
        <v xml:space="preserve"> </v>
      </c>
      <c r="L499" s="61"/>
      <c r="M499" s="43"/>
      <c r="N499" s="43"/>
      <c r="O499" s="43"/>
      <c r="P499" s="43"/>
      <c r="Q499" s="96">
        <f t="shared" si="79"/>
        <v>1</v>
      </c>
      <c r="R499" s="43"/>
      <c r="S499" s="43"/>
      <c r="T499" s="43"/>
      <c r="U499" s="43"/>
      <c r="V499" s="45">
        <f t="shared" si="80"/>
        <v>1</v>
      </c>
      <c r="W499" s="43"/>
      <c r="X499" s="43"/>
      <c r="Y499" s="43"/>
      <c r="Z499" s="43"/>
      <c r="AA499" s="43"/>
      <c r="AB499" s="43"/>
      <c r="AC499" s="45">
        <f t="shared" si="81"/>
        <v>1.000000000000002</v>
      </c>
      <c r="AD499" s="43"/>
      <c r="AE499" s="43"/>
      <c r="AF499" s="97">
        <f t="shared" si="82"/>
        <v>1</v>
      </c>
      <c r="AG499" s="44">
        <f t="shared" si="83"/>
        <v>1.0000000000000004</v>
      </c>
      <c r="AH499" s="55">
        <f t="shared" si="84"/>
        <v>0</v>
      </c>
      <c r="AI499" s="55">
        <f>COUNTIF('Score BD'!$M499:$P499,"no")</f>
        <v>0</v>
      </c>
      <c r="AJ499" s="55" t="str">
        <f t="shared" si="85"/>
        <v>-</v>
      </c>
      <c r="AK499" s="55" t="str">
        <f t="shared" si="86"/>
        <v>-</v>
      </c>
      <c r="AL499" s="55" t="str">
        <f t="shared" si="87"/>
        <v>-</v>
      </c>
      <c r="AM499" s="56"/>
      <c r="AN499" s="55"/>
      <c r="AO499" s="61"/>
      <c r="AP499" s="61"/>
      <c r="AQ499" s="59" t="str">
        <f>IFERROR(_xlfn.XLOOKUP(Tabla1[[#This Row],[Cedula agente]],Lista!$B$2:$B$97,Lista!$G$2:$G$97)," ")</f>
        <v xml:space="preserve"> </v>
      </c>
      <c r="AR499" s="59"/>
      <c r="AS499" s="55" t="str">
        <f>IFERROR(_xlfn.XLOOKUP(Tabla1[[#This Row],[Cedula agente]],Lista!$B$2:$B$97,Lista!$F$2:$F$97)," ")</f>
        <v xml:space="preserve"> </v>
      </c>
      <c r="AT499" s="99">
        <v>0.95</v>
      </c>
      <c r="AU499" s="200">
        <f>+WEEKNUM('Score BD'!$H499)-WEEKNUM(DATE(YEAR('Score BD'!$H499),MONTH('Score BD'!$H499),1))+1</f>
        <v>0</v>
      </c>
    </row>
    <row r="500" spans="1:47" ht="17.45" customHeight="1" x14ac:dyDescent="0.3">
      <c r="A500" s="49" t="str">
        <f t="shared" si="77"/>
        <v xml:space="preserve"> </v>
      </c>
      <c r="B500" s="50">
        <f>+IFERROR(COUNTIF($J$3:J500,J500)," ")</f>
        <v>0</v>
      </c>
      <c r="C500" s="54" t="str">
        <f>+'Score BD'!$J500&amp;'Score BD'!$B500</f>
        <v>0</v>
      </c>
      <c r="D500" s="91"/>
      <c r="E500" s="92"/>
      <c r="F500" s="92"/>
      <c r="G500" s="60" t="str">
        <f t="shared" si="78"/>
        <v>Enero</v>
      </c>
      <c r="H500" s="67"/>
      <c r="I500" s="243"/>
      <c r="J500" s="58"/>
      <c r="K500" s="54" t="str">
        <f>IFERROR(VLOOKUP('Score BD'!$J500,Lista!A:B,2,0)," ")</f>
        <v xml:space="preserve"> </v>
      </c>
      <c r="L500" s="61"/>
      <c r="M500" s="43"/>
      <c r="N500" s="43"/>
      <c r="O500" s="43"/>
      <c r="P500" s="43"/>
      <c r="Q500" s="96">
        <f t="shared" si="79"/>
        <v>1</v>
      </c>
      <c r="R500" s="43"/>
      <c r="S500" s="43"/>
      <c r="T500" s="43"/>
      <c r="U500" s="43"/>
      <c r="V500" s="45">
        <f t="shared" si="80"/>
        <v>1</v>
      </c>
      <c r="W500" s="43"/>
      <c r="X500" s="43"/>
      <c r="Y500" s="43"/>
      <c r="Z500" s="43"/>
      <c r="AA500" s="43"/>
      <c r="AB500" s="43"/>
      <c r="AC500" s="45">
        <f t="shared" si="81"/>
        <v>1.000000000000002</v>
      </c>
      <c r="AD500" s="43"/>
      <c r="AE500" s="43"/>
      <c r="AF500" s="97">
        <f t="shared" si="82"/>
        <v>1</v>
      </c>
      <c r="AG500" s="44">
        <f t="shared" si="83"/>
        <v>1.0000000000000004</v>
      </c>
      <c r="AH500" s="55">
        <f t="shared" si="84"/>
        <v>0</v>
      </c>
      <c r="AI500" s="55">
        <f>COUNTIF('Score BD'!$M500:$P500,"no")</f>
        <v>0</v>
      </c>
      <c r="AJ500" s="55" t="str">
        <f t="shared" si="85"/>
        <v>-</v>
      </c>
      <c r="AK500" s="55" t="str">
        <f t="shared" si="86"/>
        <v>-</v>
      </c>
      <c r="AL500" s="55" t="str">
        <f t="shared" si="87"/>
        <v>-</v>
      </c>
      <c r="AM500" s="56"/>
      <c r="AN500" s="55"/>
      <c r="AO500" s="61"/>
      <c r="AP500" s="61"/>
      <c r="AQ500" s="59" t="str">
        <f>IFERROR(_xlfn.XLOOKUP(Tabla1[[#This Row],[Cedula agente]],Lista!$B$2:$B$97,Lista!$G$2:$G$97)," ")</f>
        <v xml:space="preserve"> </v>
      </c>
      <c r="AR500" s="59"/>
      <c r="AS500" s="55" t="str">
        <f>IFERROR(_xlfn.XLOOKUP(Tabla1[[#This Row],[Cedula agente]],Lista!$B$2:$B$97,Lista!$F$2:$F$97)," ")</f>
        <v xml:space="preserve"> </v>
      </c>
      <c r="AT500" s="99">
        <v>0.95</v>
      </c>
      <c r="AU500" s="200">
        <f>+WEEKNUM('Score BD'!$H500)-WEEKNUM(DATE(YEAR('Score BD'!$H500),MONTH('Score BD'!$H500),1))+1</f>
        <v>0</v>
      </c>
    </row>
    <row r="501" spans="1:47" ht="17.45" customHeight="1" x14ac:dyDescent="0.3">
      <c r="A501" s="49" t="str">
        <f t="shared" si="77"/>
        <v xml:space="preserve"> </v>
      </c>
      <c r="B501" s="50">
        <f>+IFERROR(COUNTIF($J$3:J501,J501)," ")</f>
        <v>0</v>
      </c>
      <c r="C501" s="54" t="str">
        <f>+'Score BD'!$J501&amp;'Score BD'!$B501</f>
        <v>0</v>
      </c>
      <c r="D501" s="91"/>
      <c r="E501" s="92"/>
      <c r="F501" s="92"/>
      <c r="G501" s="60" t="str">
        <f t="shared" si="78"/>
        <v>Enero</v>
      </c>
      <c r="H501" s="67"/>
      <c r="I501" s="243"/>
      <c r="J501" s="58"/>
      <c r="K501" s="54" t="str">
        <f>IFERROR(VLOOKUP('Score BD'!$J501,Lista!A:B,2,0)," ")</f>
        <v xml:space="preserve"> </v>
      </c>
      <c r="L501" s="61"/>
      <c r="M501" s="43"/>
      <c r="N501" s="43"/>
      <c r="O501" s="43"/>
      <c r="P501" s="43"/>
      <c r="Q501" s="96">
        <f t="shared" si="79"/>
        <v>1</v>
      </c>
      <c r="R501" s="43"/>
      <c r="S501" s="43"/>
      <c r="T501" s="43"/>
      <c r="U501" s="43"/>
      <c r="V501" s="45">
        <f t="shared" si="80"/>
        <v>1</v>
      </c>
      <c r="W501" s="43"/>
      <c r="X501" s="43"/>
      <c r="Y501" s="43"/>
      <c r="Z501" s="43"/>
      <c r="AA501" s="43"/>
      <c r="AB501" s="43"/>
      <c r="AC501" s="45">
        <f t="shared" si="81"/>
        <v>1.000000000000002</v>
      </c>
      <c r="AD501" s="43"/>
      <c r="AE501" s="43"/>
      <c r="AF501" s="97">
        <f t="shared" si="82"/>
        <v>1</v>
      </c>
      <c r="AG501" s="44">
        <f t="shared" si="83"/>
        <v>1.0000000000000004</v>
      </c>
      <c r="AH501" s="55">
        <f t="shared" si="84"/>
        <v>0</v>
      </c>
      <c r="AI501" s="55">
        <f>COUNTIF('Score BD'!$M501:$P501,"no")</f>
        <v>0</v>
      </c>
      <c r="AJ501" s="55" t="str">
        <f t="shared" si="85"/>
        <v>-</v>
      </c>
      <c r="AK501" s="55" t="str">
        <f t="shared" si="86"/>
        <v>-</v>
      </c>
      <c r="AL501" s="55" t="str">
        <f t="shared" si="87"/>
        <v>-</v>
      </c>
      <c r="AM501" s="56"/>
      <c r="AN501" s="55"/>
      <c r="AO501" s="61"/>
      <c r="AP501" s="61"/>
      <c r="AQ501" s="59" t="str">
        <f>IFERROR(_xlfn.XLOOKUP(Tabla1[[#This Row],[Cedula agente]],Lista!$B$2:$B$97,Lista!$G$2:$G$97)," ")</f>
        <v xml:space="preserve"> </v>
      </c>
      <c r="AR501" s="59"/>
      <c r="AS501" s="55" t="str">
        <f>IFERROR(_xlfn.XLOOKUP(Tabla1[[#This Row],[Cedula agente]],Lista!$B$2:$B$97,Lista!$F$2:$F$97)," ")</f>
        <v xml:space="preserve"> </v>
      </c>
      <c r="AT501" s="99">
        <v>0.95</v>
      </c>
      <c r="AU501" s="200">
        <f>+WEEKNUM('Score BD'!$H501)-WEEKNUM(DATE(YEAR('Score BD'!$H501),MONTH('Score BD'!$H501),1))+1</f>
        <v>0</v>
      </c>
    </row>
    <row r="502" spans="1:47" ht="17.45" customHeight="1" x14ac:dyDescent="0.3">
      <c r="A502" s="49" t="str">
        <f t="shared" si="77"/>
        <v xml:space="preserve"> </v>
      </c>
      <c r="B502" s="50">
        <f>+IFERROR(COUNTIF($J$3:J502,J502)," ")</f>
        <v>0</v>
      </c>
      <c r="C502" s="54" t="str">
        <f>+'Score BD'!$J502&amp;'Score BD'!$B502</f>
        <v>0</v>
      </c>
      <c r="D502" s="91"/>
      <c r="E502" s="92"/>
      <c r="F502" s="92"/>
      <c r="G502" s="60" t="str">
        <f t="shared" si="78"/>
        <v>Enero</v>
      </c>
      <c r="H502" s="67"/>
      <c r="I502" s="243"/>
      <c r="J502" s="58"/>
      <c r="K502" s="54" t="str">
        <f>IFERROR(VLOOKUP('Score BD'!$J502,Lista!A:B,2,0)," ")</f>
        <v xml:space="preserve"> </v>
      </c>
      <c r="L502" s="61"/>
      <c r="M502" s="43"/>
      <c r="N502" s="43"/>
      <c r="O502" s="43"/>
      <c r="P502" s="43"/>
      <c r="Q502" s="96">
        <f t="shared" si="79"/>
        <v>1</v>
      </c>
      <c r="R502" s="43"/>
      <c r="S502" s="43"/>
      <c r="T502" s="43"/>
      <c r="U502" s="43"/>
      <c r="V502" s="45">
        <f t="shared" si="80"/>
        <v>1</v>
      </c>
      <c r="W502" s="43"/>
      <c r="X502" s="43"/>
      <c r="Y502" s="43"/>
      <c r="Z502" s="43"/>
      <c r="AA502" s="43"/>
      <c r="AB502" s="43"/>
      <c r="AC502" s="45">
        <f t="shared" si="81"/>
        <v>1.000000000000002</v>
      </c>
      <c r="AD502" s="43"/>
      <c r="AE502" s="43"/>
      <c r="AF502" s="97">
        <f t="shared" si="82"/>
        <v>1</v>
      </c>
      <c r="AG502" s="44">
        <f t="shared" si="83"/>
        <v>1.0000000000000004</v>
      </c>
      <c r="AH502" s="55">
        <f t="shared" si="84"/>
        <v>0</v>
      </c>
      <c r="AI502" s="55">
        <f>COUNTIF('Score BD'!$M502:$P502,"no")</f>
        <v>0</v>
      </c>
      <c r="AJ502" s="55" t="str">
        <f t="shared" si="85"/>
        <v>-</v>
      </c>
      <c r="AK502" s="55" t="str">
        <f t="shared" si="86"/>
        <v>-</v>
      </c>
      <c r="AL502" s="55" t="str">
        <f t="shared" si="87"/>
        <v>-</v>
      </c>
      <c r="AM502" s="56"/>
      <c r="AN502" s="55"/>
      <c r="AO502" s="61"/>
      <c r="AP502" s="61"/>
      <c r="AQ502" s="59" t="str">
        <f>IFERROR(_xlfn.XLOOKUP(Tabla1[[#This Row],[Cedula agente]],Lista!$B$2:$B$97,Lista!$G$2:$G$97)," ")</f>
        <v xml:space="preserve"> </v>
      </c>
      <c r="AR502" s="59"/>
      <c r="AS502" s="55" t="str">
        <f>IFERROR(_xlfn.XLOOKUP(Tabla1[[#This Row],[Cedula agente]],Lista!$B$2:$B$97,Lista!$F$2:$F$97)," ")</f>
        <v xml:space="preserve"> </v>
      </c>
      <c r="AT502" s="99">
        <v>0.95</v>
      </c>
      <c r="AU502" s="200">
        <f>+WEEKNUM('Score BD'!$H502)-WEEKNUM(DATE(YEAR('Score BD'!$H502),MONTH('Score BD'!$H502),1))+1</f>
        <v>0</v>
      </c>
    </row>
    <row r="503" spans="1:47" ht="17.45" customHeight="1" x14ac:dyDescent="0.3">
      <c r="A503" s="49" t="str">
        <f t="shared" si="77"/>
        <v xml:space="preserve"> </v>
      </c>
      <c r="B503" s="50">
        <f>+IFERROR(COUNTIF($J$3:J503,J503)," ")</f>
        <v>0</v>
      </c>
      <c r="C503" s="54" t="str">
        <f>+'Score BD'!$J503&amp;'Score BD'!$B503</f>
        <v>0</v>
      </c>
      <c r="D503" s="91"/>
      <c r="E503" s="92"/>
      <c r="F503" s="92"/>
      <c r="G503" s="60" t="str">
        <f t="shared" si="78"/>
        <v>Enero</v>
      </c>
      <c r="H503" s="67"/>
      <c r="I503" s="243"/>
      <c r="J503" s="58"/>
      <c r="K503" s="54" t="str">
        <f>IFERROR(VLOOKUP('Score BD'!$J503,Lista!A:B,2,0)," ")</f>
        <v xml:space="preserve"> </v>
      </c>
      <c r="L503" s="61"/>
      <c r="M503" s="43"/>
      <c r="N503" s="43"/>
      <c r="O503" s="43"/>
      <c r="P503" s="43"/>
      <c r="Q503" s="96">
        <f t="shared" si="79"/>
        <v>1</v>
      </c>
      <c r="R503" s="43"/>
      <c r="S503" s="43"/>
      <c r="T503" s="43"/>
      <c r="U503" s="43"/>
      <c r="V503" s="45">
        <f t="shared" si="80"/>
        <v>1</v>
      </c>
      <c r="W503" s="43"/>
      <c r="X503" s="43"/>
      <c r="Y503" s="43"/>
      <c r="Z503" s="43"/>
      <c r="AA503" s="43"/>
      <c r="AB503" s="43"/>
      <c r="AC503" s="45">
        <f t="shared" si="81"/>
        <v>1.000000000000002</v>
      </c>
      <c r="AD503" s="43"/>
      <c r="AE503" s="43"/>
      <c r="AF503" s="97">
        <f t="shared" si="82"/>
        <v>1</v>
      </c>
      <c r="AG503" s="44">
        <f t="shared" si="83"/>
        <v>1.0000000000000004</v>
      </c>
      <c r="AH503" s="55">
        <f t="shared" si="84"/>
        <v>0</v>
      </c>
      <c r="AI503" s="55">
        <f>COUNTIF('Score BD'!$M503:$P503,"no")</f>
        <v>0</v>
      </c>
      <c r="AJ503" s="55" t="str">
        <f t="shared" si="85"/>
        <v>-</v>
      </c>
      <c r="AK503" s="55" t="str">
        <f t="shared" si="86"/>
        <v>-</v>
      </c>
      <c r="AL503" s="55" t="str">
        <f t="shared" si="87"/>
        <v>-</v>
      </c>
      <c r="AM503" s="56"/>
      <c r="AN503" s="55"/>
      <c r="AO503" s="61"/>
      <c r="AP503" s="61"/>
      <c r="AQ503" s="59" t="str">
        <f>IFERROR(_xlfn.XLOOKUP(Tabla1[[#This Row],[Cedula agente]],Lista!$B$2:$B$97,Lista!$G$2:$G$97)," ")</f>
        <v xml:space="preserve"> </v>
      </c>
      <c r="AR503" s="59"/>
      <c r="AS503" s="55" t="str">
        <f>IFERROR(_xlfn.XLOOKUP(Tabla1[[#This Row],[Cedula agente]],Lista!$B$2:$B$97,Lista!$F$2:$F$97)," ")</f>
        <v xml:space="preserve"> </v>
      </c>
      <c r="AT503" s="99">
        <v>0.95</v>
      </c>
      <c r="AU503" s="200">
        <f>+WEEKNUM('Score BD'!$H503)-WEEKNUM(DATE(YEAR('Score BD'!$H503),MONTH('Score BD'!$H503),1))+1</f>
        <v>0</v>
      </c>
    </row>
    <row r="504" spans="1:47" ht="17.45" customHeight="1" x14ac:dyDescent="0.3">
      <c r="A504" s="49" t="str">
        <f t="shared" si="77"/>
        <v xml:space="preserve"> </v>
      </c>
      <c r="B504" s="50">
        <f>+IFERROR(COUNTIF($J$3:J504,J504)," ")</f>
        <v>0</v>
      </c>
      <c r="C504" s="54" t="str">
        <f>+'Score BD'!$J504&amp;'Score BD'!$B504</f>
        <v>0</v>
      </c>
      <c r="D504" s="91"/>
      <c r="E504" s="92"/>
      <c r="F504" s="92"/>
      <c r="G504" s="60" t="str">
        <f t="shared" si="78"/>
        <v>Enero</v>
      </c>
      <c r="H504" s="67"/>
      <c r="I504" s="243"/>
      <c r="J504" s="58"/>
      <c r="K504" s="54" t="str">
        <f>IFERROR(VLOOKUP('Score BD'!$J504,Lista!A:B,2,0)," ")</f>
        <v xml:space="preserve"> </v>
      </c>
      <c r="L504" s="61"/>
      <c r="M504" s="43"/>
      <c r="N504" s="43"/>
      <c r="O504" s="43"/>
      <c r="P504" s="43"/>
      <c r="Q504" s="96">
        <f t="shared" si="79"/>
        <v>1</v>
      </c>
      <c r="R504" s="43"/>
      <c r="S504" s="43"/>
      <c r="T504" s="43"/>
      <c r="U504" s="43"/>
      <c r="V504" s="45">
        <f t="shared" si="80"/>
        <v>1</v>
      </c>
      <c r="W504" s="43"/>
      <c r="X504" s="43"/>
      <c r="Y504" s="43"/>
      <c r="Z504" s="43"/>
      <c r="AA504" s="43"/>
      <c r="AB504" s="43"/>
      <c r="AC504" s="45">
        <f t="shared" si="81"/>
        <v>1.000000000000002</v>
      </c>
      <c r="AD504" s="43"/>
      <c r="AE504" s="43"/>
      <c r="AF504" s="97">
        <f t="shared" si="82"/>
        <v>1</v>
      </c>
      <c r="AG504" s="44">
        <f t="shared" si="83"/>
        <v>1.0000000000000004</v>
      </c>
      <c r="AH504" s="55">
        <f t="shared" si="84"/>
        <v>0</v>
      </c>
      <c r="AI504" s="55">
        <f>COUNTIF('Score BD'!$M504:$P504,"no")</f>
        <v>0</v>
      </c>
      <c r="AJ504" s="55" t="str">
        <f t="shared" si="85"/>
        <v>-</v>
      </c>
      <c r="AK504" s="55" t="str">
        <f t="shared" si="86"/>
        <v>-</v>
      </c>
      <c r="AL504" s="55" t="str">
        <f t="shared" si="87"/>
        <v>-</v>
      </c>
      <c r="AM504" s="56"/>
      <c r="AN504" s="55"/>
      <c r="AO504" s="61"/>
      <c r="AP504" s="61"/>
      <c r="AQ504" s="59" t="str">
        <f>IFERROR(_xlfn.XLOOKUP(Tabla1[[#This Row],[Cedula agente]],Lista!$B$2:$B$97,Lista!$G$2:$G$97)," ")</f>
        <v xml:space="preserve"> </v>
      </c>
      <c r="AR504" s="59"/>
      <c r="AS504" s="55" t="str">
        <f>IFERROR(_xlfn.XLOOKUP(Tabla1[[#This Row],[Cedula agente]],Lista!$B$2:$B$97,Lista!$F$2:$F$97)," ")</f>
        <v xml:space="preserve"> </v>
      </c>
      <c r="AT504" s="99">
        <v>0.95</v>
      </c>
      <c r="AU504" s="200">
        <f>+WEEKNUM('Score BD'!$H504)-WEEKNUM(DATE(YEAR('Score BD'!$H504),MONTH('Score BD'!$H504),1))+1</f>
        <v>0</v>
      </c>
    </row>
    <row r="505" spans="1:47" ht="17.45" customHeight="1" x14ac:dyDescent="0.3">
      <c r="A505" s="49" t="str">
        <f t="shared" si="77"/>
        <v xml:space="preserve"> </v>
      </c>
      <c r="B505" s="50">
        <f>+IFERROR(COUNTIF($J$3:J505,J505)," ")</f>
        <v>0</v>
      </c>
      <c r="C505" s="54" t="str">
        <f>+'Score BD'!$J505&amp;'Score BD'!$B505</f>
        <v>0</v>
      </c>
      <c r="D505" s="91"/>
      <c r="E505" s="92"/>
      <c r="F505" s="92"/>
      <c r="G505" s="60" t="str">
        <f t="shared" si="78"/>
        <v>Enero</v>
      </c>
      <c r="H505" s="67"/>
      <c r="I505" s="243"/>
      <c r="J505" s="58"/>
      <c r="K505" s="54" t="str">
        <f>IFERROR(VLOOKUP('Score BD'!$J505,Lista!A:B,2,0)," ")</f>
        <v xml:space="preserve"> </v>
      </c>
      <c r="L505" s="61"/>
      <c r="M505" s="43"/>
      <c r="N505" s="43"/>
      <c r="O505" s="43"/>
      <c r="P505" s="43"/>
      <c r="Q505" s="96">
        <f t="shared" si="79"/>
        <v>1</v>
      </c>
      <c r="R505" s="43"/>
      <c r="S505" s="43"/>
      <c r="T505" s="43"/>
      <c r="U505" s="43"/>
      <c r="V505" s="45">
        <f t="shared" si="80"/>
        <v>1</v>
      </c>
      <c r="W505" s="43"/>
      <c r="X505" s="43"/>
      <c r="Y505" s="43"/>
      <c r="Z505" s="43"/>
      <c r="AA505" s="43"/>
      <c r="AB505" s="43"/>
      <c r="AC505" s="45">
        <f t="shared" si="81"/>
        <v>1.000000000000002</v>
      </c>
      <c r="AD505" s="43"/>
      <c r="AE505" s="43"/>
      <c r="AF505" s="97">
        <f t="shared" si="82"/>
        <v>1</v>
      </c>
      <c r="AG505" s="44">
        <f t="shared" si="83"/>
        <v>1.0000000000000004</v>
      </c>
      <c r="AH505" s="55">
        <f t="shared" si="84"/>
        <v>0</v>
      </c>
      <c r="AI505" s="55">
        <f>COUNTIF('Score BD'!$M505:$P505,"no")</f>
        <v>0</v>
      </c>
      <c r="AJ505" s="55" t="str">
        <f t="shared" si="85"/>
        <v>-</v>
      </c>
      <c r="AK505" s="55" t="str">
        <f t="shared" si="86"/>
        <v>-</v>
      </c>
      <c r="AL505" s="55" t="str">
        <f t="shared" si="87"/>
        <v>-</v>
      </c>
      <c r="AM505" s="56"/>
      <c r="AN505" s="55"/>
      <c r="AO505" s="61"/>
      <c r="AP505" s="61"/>
      <c r="AQ505" s="59" t="str">
        <f>IFERROR(_xlfn.XLOOKUP(Tabla1[[#This Row],[Cedula agente]],Lista!$B$2:$B$97,Lista!$G$2:$G$97)," ")</f>
        <v xml:space="preserve"> </v>
      </c>
      <c r="AR505" s="59"/>
      <c r="AS505" s="55" t="str">
        <f>IFERROR(_xlfn.XLOOKUP(Tabla1[[#This Row],[Cedula agente]],Lista!$B$2:$B$97,Lista!$F$2:$F$97)," ")</f>
        <v xml:space="preserve"> </v>
      </c>
      <c r="AT505" s="99">
        <v>0.95</v>
      </c>
      <c r="AU505" s="200">
        <f>+WEEKNUM('Score BD'!$H505)-WEEKNUM(DATE(YEAR('Score BD'!$H505),MONTH('Score BD'!$H505),1))+1</f>
        <v>0</v>
      </c>
    </row>
    <row r="506" spans="1:47" ht="17.45" customHeight="1" x14ac:dyDescent="0.3">
      <c r="A506" s="49" t="str">
        <f t="shared" si="77"/>
        <v xml:space="preserve"> </v>
      </c>
      <c r="B506" s="50">
        <f>+IFERROR(COUNTIF($J$3:J506,J506)," ")</f>
        <v>0</v>
      </c>
      <c r="C506" s="54" t="str">
        <f>+'Score BD'!$J506&amp;'Score BD'!$B506</f>
        <v>0</v>
      </c>
      <c r="D506" s="91"/>
      <c r="E506" s="92"/>
      <c r="F506" s="92"/>
      <c r="G506" s="60" t="str">
        <f t="shared" si="78"/>
        <v>Enero</v>
      </c>
      <c r="H506" s="67"/>
      <c r="I506" s="243"/>
      <c r="J506" s="58"/>
      <c r="K506" s="54" t="str">
        <f>IFERROR(VLOOKUP('Score BD'!$J506,Lista!A:B,2,0)," ")</f>
        <v xml:space="preserve"> </v>
      </c>
      <c r="L506" s="61"/>
      <c r="M506" s="43"/>
      <c r="N506" s="43"/>
      <c r="O506" s="43"/>
      <c r="P506" s="43"/>
      <c r="Q506" s="96">
        <f t="shared" si="79"/>
        <v>1</v>
      </c>
      <c r="R506" s="43"/>
      <c r="S506" s="43"/>
      <c r="T506" s="43"/>
      <c r="U506" s="43"/>
      <c r="V506" s="45">
        <f t="shared" si="80"/>
        <v>1</v>
      </c>
      <c r="W506" s="43"/>
      <c r="X506" s="43"/>
      <c r="Y506" s="43"/>
      <c r="Z506" s="43"/>
      <c r="AA506" s="43"/>
      <c r="AB506" s="43"/>
      <c r="AC506" s="45">
        <f t="shared" si="81"/>
        <v>1.000000000000002</v>
      </c>
      <c r="AD506" s="43"/>
      <c r="AE506" s="43"/>
      <c r="AF506" s="97">
        <f t="shared" si="82"/>
        <v>1</v>
      </c>
      <c r="AG506" s="44">
        <f t="shared" si="83"/>
        <v>1.0000000000000004</v>
      </c>
      <c r="AH506" s="55">
        <f t="shared" si="84"/>
        <v>0</v>
      </c>
      <c r="AI506" s="55">
        <f>COUNTIF('Score BD'!$M506:$P506,"no")</f>
        <v>0</v>
      </c>
      <c r="AJ506" s="55" t="str">
        <f t="shared" si="85"/>
        <v>-</v>
      </c>
      <c r="AK506" s="55" t="str">
        <f t="shared" si="86"/>
        <v>-</v>
      </c>
      <c r="AL506" s="55" t="str">
        <f t="shared" si="87"/>
        <v>-</v>
      </c>
      <c r="AM506" s="56"/>
      <c r="AN506" s="55"/>
      <c r="AO506" s="61"/>
      <c r="AP506" s="61"/>
      <c r="AQ506" s="59" t="str">
        <f>IFERROR(_xlfn.XLOOKUP(Tabla1[[#This Row],[Cedula agente]],Lista!$B$2:$B$97,Lista!$G$2:$G$97)," ")</f>
        <v xml:space="preserve"> </v>
      </c>
      <c r="AR506" s="59"/>
      <c r="AS506" s="55" t="str">
        <f>IFERROR(_xlfn.XLOOKUP(Tabla1[[#This Row],[Cedula agente]],Lista!$B$2:$B$97,Lista!$F$2:$F$97)," ")</f>
        <v xml:space="preserve"> </v>
      </c>
      <c r="AT506" s="99">
        <v>0.95</v>
      </c>
      <c r="AU506" s="200">
        <f>+WEEKNUM('Score BD'!$H506)-WEEKNUM(DATE(YEAR('Score BD'!$H506),MONTH('Score BD'!$H506),1))+1</f>
        <v>0</v>
      </c>
    </row>
    <row r="507" spans="1:47" ht="17.45" customHeight="1" x14ac:dyDescent="0.3">
      <c r="A507" s="49" t="str">
        <f t="shared" si="77"/>
        <v xml:space="preserve"> </v>
      </c>
      <c r="B507" s="50">
        <f>+IFERROR(COUNTIF($J$3:J507,J507)," ")</f>
        <v>0</v>
      </c>
      <c r="C507" s="54" t="str">
        <f>+'Score BD'!$J507&amp;'Score BD'!$B507</f>
        <v>0</v>
      </c>
      <c r="D507" s="91"/>
      <c r="E507" s="92"/>
      <c r="F507" s="92"/>
      <c r="G507" s="60" t="str">
        <f t="shared" si="78"/>
        <v>Enero</v>
      </c>
      <c r="H507" s="67"/>
      <c r="I507" s="243"/>
      <c r="J507" s="58"/>
      <c r="K507" s="54" t="str">
        <f>IFERROR(VLOOKUP('Score BD'!$J507,Lista!A:B,2,0)," ")</f>
        <v xml:space="preserve"> </v>
      </c>
      <c r="L507" s="61"/>
      <c r="M507" s="43"/>
      <c r="N507" s="43"/>
      <c r="O507" s="43"/>
      <c r="P507" s="43"/>
      <c r="Q507" s="96">
        <f t="shared" si="79"/>
        <v>1</v>
      </c>
      <c r="R507" s="43"/>
      <c r="S507" s="43"/>
      <c r="T507" s="43"/>
      <c r="U507" s="43"/>
      <c r="V507" s="45">
        <f t="shared" si="80"/>
        <v>1</v>
      </c>
      <c r="W507" s="43"/>
      <c r="X507" s="43"/>
      <c r="Y507" s="43"/>
      <c r="Z507" s="43"/>
      <c r="AA507" s="43"/>
      <c r="AB507" s="43"/>
      <c r="AC507" s="45">
        <f t="shared" si="81"/>
        <v>1.000000000000002</v>
      </c>
      <c r="AD507" s="43"/>
      <c r="AE507" s="43"/>
      <c r="AF507" s="97">
        <f t="shared" si="82"/>
        <v>1</v>
      </c>
      <c r="AG507" s="44">
        <f t="shared" si="83"/>
        <v>1.0000000000000004</v>
      </c>
      <c r="AH507" s="55">
        <f t="shared" si="84"/>
        <v>0</v>
      </c>
      <c r="AI507" s="55">
        <f>COUNTIF('Score BD'!$M507:$P507,"no")</f>
        <v>0</v>
      </c>
      <c r="AJ507" s="55" t="str">
        <f t="shared" si="85"/>
        <v>-</v>
      </c>
      <c r="AK507" s="55" t="str">
        <f t="shared" si="86"/>
        <v>-</v>
      </c>
      <c r="AL507" s="55" t="str">
        <f t="shared" si="87"/>
        <v>-</v>
      </c>
      <c r="AM507" s="56"/>
      <c r="AN507" s="55"/>
      <c r="AO507" s="61"/>
      <c r="AP507" s="61"/>
      <c r="AQ507" s="59" t="str">
        <f>IFERROR(_xlfn.XLOOKUP(Tabla1[[#This Row],[Cedula agente]],Lista!$B$2:$B$97,Lista!$G$2:$G$97)," ")</f>
        <v xml:space="preserve"> </v>
      </c>
      <c r="AR507" s="59"/>
      <c r="AS507" s="55" t="str">
        <f>IFERROR(_xlfn.XLOOKUP(Tabla1[[#This Row],[Cedula agente]],Lista!$B$2:$B$97,Lista!$F$2:$F$97)," ")</f>
        <v xml:space="preserve"> </v>
      </c>
      <c r="AT507" s="99">
        <v>0.95</v>
      </c>
      <c r="AU507" s="200">
        <f>+WEEKNUM('Score BD'!$H507)-WEEKNUM(DATE(YEAR('Score BD'!$H507),MONTH('Score BD'!$H507),1))+1</f>
        <v>0</v>
      </c>
    </row>
    <row r="508" spans="1:47" ht="17.45" customHeight="1" x14ac:dyDescent="0.3">
      <c r="A508" s="49" t="str">
        <f t="shared" si="77"/>
        <v xml:space="preserve"> </v>
      </c>
      <c r="B508" s="50">
        <f>+IFERROR(COUNTIF($J$3:J508,J508)," ")</f>
        <v>0</v>
      </c>
      <c r="C508" s="54" t="str">
        <f>+'Score BD'!$J508&amp;'Score BD'!$B508</f>
        <v>0</v>
      </c>
      <c r="D508" s="91"/>
      <c r="E508" s="92"/>
      <c r="F508" s="92"/>
      <c r="G508" s="60" t="str">
        <f t="shared" si="78"/>
        <v>Enero</v>
      </c>
      <c r="H508" s="67"/>
      <c r="I508" s="243"/>
      <c r="J508" s="58"/>
      <c r="K508" s="54" t="str">
        <f>IFERROR(VLOOKUP('Score BD'!$J508,Lista!A:B,2,0)," ")</f>
        <v xml:space="preserve"> </v>
      </c>
      <c r="L508" s="61"/>
      <c r="M508" s="43"/>
      <c r="N508" s="43"/>
      <c r="O508" s="43"/>
      <c r="P508" s="43"/>
      <c r="Q508" s="96">
        <f t="shared" si="79"/>
        <v>1</v>
      </c>
      <c r="R508" s="43"/>
      <c r="S508" s="43"/>
      <c r="T508" s="43"/>
      <c r="U508" s="43"/>
      <c r="V508" s="45">
        <f t="shared" si="80"/>
        <v>1</v>
      </c>
      <c r="W508" s="43"/>
      <c r="X508" s="43"/>
      <c r="Y508" s="43"/>
      <c r="Z508" s="43"/>
      <c r="AA508" s="43"/>
      <c r="AB508" s="43"/>
      <c r="AC508" s="45">
        <f t="shared" si="81"/>
        <v>1.000000000000002</v>
      </c>
      <c r="AD508" s="43"/>
      <c r="AE508" s="43"/>
      <c r="AF508" s="97">
        <f t="shared" si="82"/>
        <v>1</v>
      </c>
      <c r="AG508" s="44">
        <f t="shared" si="83"/>
        <v>1.0000000000000004</v>
      </c>
      <c r="AH508" s="55">
        <f t="shared" si="84"/>
        <v>0</v>
      </c>
      <c r="AI508" s="55">
        <f>COUNTIF('Score BD'!$M508:$P508,"no")</f>
        <v>0</v>
      </c>
      <c r="AJ508" s="55" t="str">
        <f t="shared" si="85"/>
        <v>-</v>
      </c>
      <c r="AK508" s="55" t="str">
        <f t="shared" si="86"/>
        <v>-</v>
      </c>
      <c r="AL508" s="55" t="str">
        <f t="shared" si="87"/>
        <v>-</v>
      </c>
      <c r="AM508" s="56"/>
      <c r="AN508" s="55"/>
      <c r="AO508" s="61"/>
      <c r="AP508" s="61"/>
      <c r="AQ508" s="59" t="str">
        <f>IFERROR(_xlfn.XLOOKUP(Tabla1[[#This Row],[Cedula agente]],Lista!$B$2:$B$97,Lista!$G$2:$G$97)," ")</f>
        <v xml:space="preserve"> </v>
      </c>
      <c r="AR508" s="59"/>
      <c r="AS508" s="55" t="str">
        <f>IFERROR(_xlfn.XLOOKUP(Tabla1[[#This Row],[Cedula agente]],Lista!$B$2:$B$97,Lista!$F$2:$F$97)," ")</f>
        <v xml:space="preserve"> </v>
      </c>
      <c r="AT508" s="99">
        <v>0.95</v>
      </c>
      <c r="AU508" s="200">
        <f>+WEEKNUM('Score BD'!$H508)-WEEKNUM(DATE(YEAR('Score BD'!$H508),MONTH('Score BD'!$H508),1))+1</f>
        <v>0</v>
      </c>
    </row>
    <row r="509" spans="1:47" ht="17.45" customHeight="1" x14ac:dyDescent="0.3">
      <c r="A509" s="49" t="str">
        <f t="shared" si="77"/>
        <v xml:space="preserve"> </v>
      </c>
      <c r="B509" s="50">
        <f>+IFERROR(COUNTIF($J$3:J509,J509)," ")</f>
        <v>0</v>
      </c>
      <c r="C509" s="54" t="str">
        <f>+'Score BD'!$J509&amp;'Score BD'!$B509</f>
        <v>0</v>
      </c>
      <c r="D509" s="91"/>
      <c r="E509" s="92"/>
      <c r="F509" s="92"/>
      <c r="G509" s="60" t="str">
        <f t="shared" si="78"/>
        <v>Enero</v>
      </c>
      <c r="H509" s="67"/>
      <c r="I509" s="243"/>
      <c r="J509" s="58"/>
      <c r="K509" s="54" t="str">
        <f>IFERROR(VLOOKUP('Score BD'!$J509,Lista!A:B,2,0)," ")</f>
        <v xml:space="preserve"> </v>
      </c>
      <c r="L509" s="61"/>
      <c r="M509" s="43"/>
      <c r="N509" s="43"/>
      <c r="O509" s="43"/>
      <c r="P509" s="43"/>
      <c r="Q509" s="96">
        <f t="shared" si="79"/>
        <v>1</v>
      </c>
      <c r="R509" s="43"/>
      <c r="S509" s="43"/>
      <c r="T509" s="43"/>
      <c r="U509" s="43"/>
      <c r="V509" s="45">
        <f t="shared" si="80"/>
        <v>1</v>
      </c>
      <c r="W509" s="43"/>
      <c r="X509" s="43"/>
      <c r="Y509" s="43"/>
      <c r="Z509" s="43"/>
      <c r="AA509" s="43"/>
      <c r="AB509" s="43"/>
      <c r="AC509" s="45">
        <f t="shared" si="81"/>
        <v>1.000000000000002</v>
      </c>
      <c r="AD509" s="43"/>
      <c r="AE509" s="43"/>
      <c r="AF509" s="97">
        <f t="shared" si="82"/>
        <v>1</v>
      </c>
      <c r="AG509" s="44">
        <f t="shared" si="83"/>
        <v>1.0000000000000004</v>
      </c>
      <c r="AH509" s="55">
        <f t="shared" si="84"/>
        <v>0</v>
      </c>
      <c r="AI509" s="55">
        <f>COUNTIF('Score BD'!$M509:$P509,"no")</f>
        <v>0</v>
      </c>
      <c r="AJ509" s="55" t="str">
        <f t="shared" si="85"/>
        <v>-</v>
      </c>
      <c r="AK509" s="55" t="str">
        <f t="shared" si="86"/>
        <v>-</v>
      </c>
      <c r="AL509" s="55" t="str">
        <f t="shared" si="87"/>
        <v>-</v>
      </c>
      <c r="AM509" s="56"/>
      <c r="AN509" s="55"/>
      <c r="AO509" s="61"/>
      <c r="AP509" s="61"/>
      <c r="AQ509" s="59" t="str">
        <f>IFERROR(_xlfn.XLOOKUP(Tabla1[[#This Row],[Cedula agente]],Lista!$B$2:$B$97,Lista!$G$2:$G$97)," ")</f>
        <v xml:space="preserve"> </v>
      </c>
      <c r="AR509" s="59"/>
      <c r="AS509" s="55" t="str">
        <f>IFERROR(_xlfn.XLOOKUP(Tabla1[[#This Row],[Cedula agente]],Lista!$B$2:$B$97,Lista!$F$2:$F$97)," ")</f>
        <v xml:space="preserve"> </v>
      </c>
      <c r="AT509" s="99">
        <v>0.95</v>
      </c>
      <c r="AU509" s="200">
        <f>+WEEKNUM('Score BD'!$H509)-WEEKNUM(DATE(YEAR('Score BD'!$H509),MONTH('Score BD'!$H509),1))+1</f>
        <v>0</v>
      </c>
    </row>
    <row r="510" spans="1:47" ht="17.45" customHeight="1" x14ac:dyDescent="0.3">
      <c r="A510" s="49" t="str">
        <f t="shared" si="77"/>
        <v xml:space="preserve"> </v>
      </c>
      <c r="B510" s="50">
        <f>+IFERROR(COUNTIF($J$3:J510,J510)," ")</f>
        <v>0</v>
      </c>
      <c r="C510" s="54" t="str">
        <f>+'Score BD'!$J510&amp;'Score BD'!$B510</f>
        <v>0</v>
      </c>
      <c r="D510" s="91"/>
      <c r="E510" s="92"/>
      <c r="F510" s="92"/>
      <c r="G510" s="60" t="str">
        <f t="shared" si="78"/>
        <v>Enero</v>
      </c>
      <c r="H510" s="67"/>
      <c r="I510" s="243"/>
      <c r="J510" s="58"/>
      <c r="K510" s="54" t="str">
        <f>IFERROR(VLOOKUP('Score BD'!$J510,Lista!A:B,2,0)," ")</f>
        <v xml:space="preserve"> </v>
      </c>
      <c r="L510" s="61"/>
      <c r="M510" s="43"/>
      <c r="N510" s="43"/>
      <c r="O510" s="43"/>
      <c r="P510" s="43"/>
      <c r="Q510" s="96">
        <f t="shared" si="79"/>
        <v>1</v>
      </c>
      <c r="R510" s="43"/>
      <c r="S510" s="43"/>
      <c r="T510" s="43"/>
      <c r="U510" s="43"/>
      <c r="V510" s="45">
        <f t="shared" si="80"/>
        <v>1</v>
      </c>
      <c r="W510" s="43"/>
      <c r="X510" s="43"/>
      <c r="Y510" s="43"/>
      <c r="Z510" s="43"/>
      <c r="AA510" s="43"/>
      <c r="AB510" s="43"/>
      <c r="AC510" s="45">
        <f t="shared" si="81"/>
        <v>1.000000000000002</v>
      </c>
      <c r="AD510" s="43"/>
      <c r="AE510" s="43"/>
      <c r="AF510" s="97">
        <f t="shared" si="82"/>
        <v>1</v>
      </c>
      <c r="AG510" s="44">
        <f t="shared" si="83"/>
        <v>1.0000000000000004</v>
      </c>
      <c r="AH510" s="55">
        <f t="shared" si="84"/>
        <v>0</v>
      </c>
      <c r="AI510" s="55">
        <f>COUNTIF('Score BD'!$M510:$P510,"no")</f>
        <v>0</v>
      </c>
      <c r="AJ510" s="55" t="str">
        <f t="shared" si="85"/>
        <v>-</v>
      </c>
      <c r="AK510" s="55" t="str">
        <f t="shared" si="86"/>
        <v>-</v>
      </c>
      <c r="AL510" s="55" t="str">
        <f t="shared" si="87"/>
        <v>-</v>
      </c>
      <c r="AM510" s="56"/>
      <c r="AN510" s="55"/>
      <c r="AO510" s="61"/>
      <c r="AP510" s="61"/>
      <c r="AQ510" s="59" t="str">
        <f>IFERROR(_xlfn.XLOOKUP(Tabla1[[#This Row],[Cedula agente]],Lista!$B$2:$B$97,Lista!$G$2:$G$97)," ")</f>
        <v xml:space="preserve"> </v>
      </c>
      <c r="AR510" s="59"/>
      <c r="AS510" s="55" t="str">
        <f>IFERROR(_xlfn.XLOOKUP(Tabla1[[#This Row],[Cedula agente]],Lista!$B$2:$B$97,Lista!$F$2:$F$97)," ")</f>
        <v xml:space="preserve"> </v>
      </c>
      <c r="AT510" s="99">
        <v>0.95</v>
      </c>
      <c r="AU510" s="200">
        <f>+WEEKNUM('Score BD'!$H510)-WEEKNUM(DATE(YEAR('Score BD'!$H510),MONTH('Score BD'!$H510),1))+1</f>
        <v>0</v>
      </c>
    </row>
    <row r="511" spans="1:47" ht="17.45" customHeight="1" x14ac:dyDescent="0.3">
      <c r="A511" s="49" t="str">
        <f t="shared" si="77"/>
        <v xml:space="preserve"> </v>
      </c>
      <c r="B511" s="50">
        <f>+IFERROR(COUNTIF($J$3:J511,J511)," ")</f>
        <v>0</v>
      </c>
      <c r="C511" s="54" t="str">
        <f>+'Score BD'!$J511&amp;'Score BD'!$B511</f>
        <v>0</v>
      </c>
      <c r="D511" s="91"/>
      <c r="E511" s="92"/>
      <c r="F511" s="92"/>
      <c r="G511" s="60" t="str">
        <f t="shared" si="78"/>
        <v>Enero</v>
      </c>
      <c r="H511" s="67"/>
      <c r="I511" s="243"/>
      <c r="J511" s="58"/>
      <c r="K511" s="54" t="str">
        <f>IFERROR(VLOOKUP('Score BD'!$J511,Lista!A:B,2,0)," ")</f>
        <v xml:space="preserve"> </v>
      </c>
      <c r="L511" s="61"/>
      <c r="M511" s="43"/>
      <c r="N511" s="43"/>
      <c r="O511" s="43"/>
      <c r="P511" s="43"/>
      <c r="Q511" s="96">
        <f t="shared" si="79"/>
        <v>1</v>
      </c>
      <c r="R511" s="43"/>
      <c r="S511" s="43"/>
      <c r="T511" s="43"/>
      <c r="U511" s="43"/>
      <c r="V511" s="45">
        <f t="shared" si="80"/>
        <v>1</v>
      </c>
      <c r="W511" s="43"/>
      <c r="X511" s="43"/>
      <c r="Y511" s="43"/>
      <c r="Z511" s="43"/>
      <c r="AA511" s="43"/>
      <c r="AB511" s="43"/>
      <c r="AC511" s="45">
        <f t="shared" si="81"/>
        <v>1.000000000000002</v>
      </c>
      <c r="AD511" s="43"/>
      <c r="AE511" s="43"/>
      <c r="AF511" s="97">
        <f t="shared" si="82"/>
        <v>1</v>
      </c>
      <c r="AG511" s="44">
        <f t="shared" si="83"/>
        <v>1.0000000000000004</v>
      </c>
      <c r="AH511" s="55">
        <f t="shared" si="84"/>
        <v>0</v>
      </c>
      <c r="AI511" s="55">
        <f>COUNTIF('Score BD'!$M511:$P511,"no")</f>
        <v>0</v>
      </c>
      <c r="AJ511" s="55" t="str">
        <f t="shared" si="85"/>
        <v>-</v>
      </c>
      <c r="AK511" s="55" t="str">
        <f t="shared" si="86"/>
        <v>-</v>
      </c>
      <c r="AL511" s="55" t="str">
        <f t="shared" si="87"/>
        <v>-</v>
      </c>
      <c r="AM511" s="56"/>
      <c r="AN511" s="55"/>
      <c r="AO511" s="61"/>
      <c r="AP511" s="61"/>
      <c r="AQ511" s="59" t="str">
        <f>IFERROR(_xlfn.XLOOKUP(Tabla1[[#This Row],[Cedula agente]],Lista!$B$2:$B$97,Lista!$G$2:$G$97)," ")</f>
        <v xml:space="preserve"> </v>
      </c>
      <c r="AR511" s="59"/>
      <c r="AS511" s="55" t="str">
        <f>IFERROR(_xlfn.XLOOKUP(Tabla1[[#This Row],[Cedula agente]],Lista!$B$2:$B$97,Lista!$F$2:$F$97)," ")</f>
        <v xml:space="preserve"> </v>
      </c>
      <c r="AT511" s="99">
        <v>0.95</v>
      </c>
      <c r="AU511" s="200">
        <f>+WEEKNUM('Score BD'!$H511)-WEEKNUM(DATE(YEAR('Score BD'!$H511),MONTH('Score BD'!$H511),1))+1</f>
        <v>0</v>
      </c>
    </row>
    <row r="512" spans="1:47" ht="17.45" customHeight="1" x14ac:dyDescent="0.3">
      <c r="A512" s="49" t="str">
        <f t="shared" si="77"/>
        <v xml:space="preserve"> </v>
      </c>
      <c r="B512" s="50">
        <f>+IFERROR(COUNTIF($J$3:J512,J512)," ")</f>
        <v>0</v>
      </c>
      <c r="C512" s="54" t="str">
        <f>+'Score BD'!$J512&amp;'Score BD'!$B512</f>
        <v>0</v>
      </c>
      <c r="D512" s="91"/>
      <c r="E512" s="92"/>
      <c r="F512" s="92"/>
      <c r="G512" s="60" t="str">
        <f t="shared" si="78"/>
        <v>Enero</v>
      </c>
      <c r="H512" s="67"/>
      <c r="I512" s="243"/>
      <c r="J512" s="58"/>
      <c r="K512" s="54" t="str">
        <f>IFERROR(VLOOKUP('Score BD'!$J512,Lista!A:B,2,0)," ")</f>
        <v xml:space="preserve"> </v>
      </c>
      <c r="L512" s="61"/>
      <c r="M512" s="43"/>
      <c r="N512" s="43"/>
      <c r="O512" s="43"/>
      <c r="P512" s="43"/>
      <c r="Q512" s="96">
        <f t="shared" si="79"/>
        <v>1</v>
      </c>
      <c r="R512" s="43"/>
      <c r="S512" s="43"/>
      <c r="T512" s="43"/>
      <c r="U512" s="43"/>
      <c r="V512" s="45">
        <f t="shared" si="80"/>
        <v>1</v>
      </c>
      <c r="W512" s="43"/>
      <c r="X512" s="43"/>
      <c r="Y512" s="43"/>
      <c r="Z512" s="43"/>
      <c r="AA512" s="43"/>
      <c r="AB512" s="43"/>
      <c r="AC512" s="45">
        <f t="shared" si="81"/>
        <v>1.000000000000002</v>
      </c>
      <c r="AD512" s="43"/>
      <c r="AE512" s="43"/>
      <c r="AF512" s="97">
        <f t="shared" si="82"/>
        <v>1</v>
      </c>
      <c r="AG512" s="44">
        <f t="shared" si="83"/>
        <v>1.0000000000000004</v>
      </c>
      <c r="AH512" s="55">
        <f t="shared" si="84"/>
        <v>0</v>
      </c>
      <c r="AI512" s="55">
        <f>COUNTIF('Score BD'!$M512:$P512,"no")</f>
        <v>0</v>
      </c>
      <c r="AJ512" s="55" t="str">
        <f t="shared" si="85"/>
        <v>-</v>
      </c>
      <c r="AK512" s="55" t="str">
        <f t="shared" si="86"/>
        <v>-</v>
      </c>
      <c r="AL512" s="55" t="str">
        <f t="shared" si="87"/>
        <v>-</v>
      </c>
      <c r="AM512" s="56"/>
      <c r="AN512" s="55"/>
      <c r="AO512" s="61"/>
      <c r="AP512" s="61"/>
      <c r="AQ512" s="59" t="str">
        <f>IFERROR(_xlfn.XLOOKUP(Tabla1[[#This Row],[Cedula agente]],Lista!$B$2:$B$97,Lista!$G$2:$G$97)," ")</f>
        <v xml:space="preserve"> </v>
      </c>
      <c r="AR512" s="59"/>
      <c r="AS512" s="55" t="str">
        <f>IFERROR(_xlfn.XLOOKUP(Tabla1[[#This Row],[Cedula agente]],Lista!$B$2:$B$97,Lista!$F$2:$F$97)," ")</f>
        <v xml:space="preserve"> </v>
      </c>
      <c r="AT512" s="99">
        <v>0.95</v>
      </c>
      <c r="AU512" s="200">
        <f>+WEEKNUM('Score BD'!$H512)-WEEKNUM(DATE(YEAR('Score BD'!$H512),MONTH('Score BD'!$H512),1))+1</f>
        <v>0</v>
      </c>
    </row>
    <row r="513" spans="1:47" ht="17.45" customHeight="1" x14ac:dyDescent="0.3">
      <c r="A513" s="49" t="str">
        <f t="shared" si="77"/>
        <v xml:space="preserve"> </v>
      </c>
      <c r="B513" s="50">
        <f>+IFERROR(COUNTIF($J$3:J513,J513)," ")</f>
        <v>0</v>
      </c>
      <c r="C513" s="54" t="str">
        <f>+'Score BD'!$J513&amp;'Score BD'!$B513</f>
        <v>0</v>
      </c>
      <c r="D513" s="91"/>
      <c r="E513" s="92"/>
      <c r="F513" s="92"/>
      <c r="G513" s="60" t="str">
        <f t="shared" si="78"/>
        <v>Enero</v>
      </c>
      <c r="H513" s="67"/>
      <c r="I513" s="243"/>
      <c r="J513" s="58"/>
      <c r="K513" s="54" t="str">
        <f>IFERROR(VLOOKUP('Score BD'!$J513,Lista!A:B,2,0)," ")</f>
        <v xml:space="preserve"> </v>
      </c>
      <c r="L513" s="61"/>
      <c r="M513" s="43"/>
      <c r="N513" s="43"/>
      <c r="O513" s="43"/>
      <c r="P513" s="43"/>
      <c r="Q513" s="96">
        <f t="shared" si="79"/>
        <v>1</v>
      </c>
      <c r="R513" s="43"/>
      <c r="S513" s="43"/>
      <c r="T513" s="43"/>
      <c r="U513" s="43"/>
      <c r="V513" s="45">
        <f t="shared" si="80"/>
        <v>1</v>
      </c>
      <c r="W513" s="43"/>
      <c r="X513" s="43"/>
      <c r="Y513" s="43"/>
      <c r="Z513" s="43"/>
      <c r="AA513" s="43"/>
      <c r="AB513" s="43"/>
      <c r="AC513" s="45">
        <f t="shared" si="81"/>
        <v>1.000000000000002</v>
      </c>
      <c r="AD513" s="43"/>
      <c r="AE513" s="43"/>
      <c r="AF513" s="97">
        <f t="shared" si="82"/>
        <v>1</v>
      </c>
      <c r="AG513" s="44">
        <f t="shared" si="83"/>
        <v>1.0000000000000004</v>
      </c>
      <c r="AH513" s="55">
        <f t="shared" si="84"/>
        <v>0</v>
      </c>
      <c r="AI513" s="55">
        <f>COUNTIF('Score BD'!$M513:$P513,"no")</f>
        <v>0</v>
      </c>
      <c r="AJ513" s="55" t="str">
        <f t="shared" si="85"/>
        <v>-</v>
      </c>
      <c r="AK513" s="55" t="str">
        <f t="shared" si="86"/>
        <v>-</v>
      </c>
      <c r="AL513" s="55" t="str">
        <f t="shared" si="87"/>
        <v>-</v>
      </c>
      <c r="AM513" s="56"/>
      <c r="AN513" s="55"/>
      <c r="AO513" s="61"/>
      <c r="AP513" s="61"/>
      <c r="AQ513" s="59" t="str">
        <f>IFERROR(_xlfn.XLOOKUP(Tabla1[[#This Row],[Cedula agente]],Lista!$B$2:$B$97,Lista!$G$2:$G$97)," ")</f>
        <v xml:space="preserve"> </v>
      </c>
      <c r="AR513" s="59"/>
      <c r="AS513" s="55" t="str">
        <f>IFERROR(_xlfn.XLOOKUP(Tabla1[[#This Row],[Cedula agente]],Lista!$B$2:$B$97,Lista!$F$2:$F$97)," ")</f>
        <v xml:space="preserve"> </v>
      </c>
      <c r="AT513" s="99">
        <v>0.95</v>
      </c>
      <c r="AU513" s="200">
        <f>+WEEKNUM('Score BD'!$H513)-WEEKNUM(DATE(YEAR('Score BD'!$H513),MONTH('Score BD'!$H513),1))+1</f>
        <v>0</v>
      </c>
    </row>
    <row r="514" spans="1:47" ht="17.45" customHeight="1" x14ac:dyDescent="0.3">
      <c r="A514" s="49" t="str">
        <f t="shared" si="77"/>
        <v xml:space="preserve"> </v>
      </c>
      <c r="B514" s="50">
        <f>+IFERROR(COUNTIF($J$3:J514,J514)," ")</f>
        <v>0</v>
      </c>
      <c r="C514" s="54" t="str">
        <f>+'Score BD'!$J514&amp;'Score BD'!$B514</f>
        <v>0</v>
      </c>
      <c r="D514" s="91"/>
      <c r="E514" s="92"/>
      <c r="F514" s="92"/>
      <c r="G514" s="60" t="str">
        <f t="shared" si="78"/>
        <v>Enero</v>
      </c>
      <c r="H514" s="67"/>
      <c r="I514" s="243"/>
      <c r="J514" s="58"/>
      <c r="K514" s="54" t="str">
        <f>IFERROR(VLOOKUP('Score BD'!$J514,Lista!A:B,2,0)," ")</f>
        <v xml:space="preserve"> </v>
      </c>
      <c r="L514" s="61"/>
      <c r="M514" s="43"/>
      <c r="N514" s="43"/>
      <c r="O514" s="43"/>
      <c r="P514" s="43"/>
      <c r="Q514" s="96">
        <f t="shared" si="79"/>
        <v>1</v>
      </c>
      <c r="R514" s="43"/>
      <c r="S514" s="43"/>
      <c r="T514" s="43"/>
      <c r="U514" s="43"/>
      <c r="V514" s="45">
        <f t="shared" si="80"/>
        <v>1</v>
      </c>
      <c r="W514" s="43"/>
      <c r="X514" s="43"/>
      <c r="Y514" s="43"/>
      <c r="Z514" s="43"/>
      <c r="AA514" s="43"/>
      <c r="AB514" s="43"/>
      <c r="AC514" s="45">
        <f t="shared" si="81"/>
        <v>1.000000000000002</v>
      </c>
      <c r="AD514" s="43"/>
      <c r="AE514" s="43"/>
      <c r="AF514" s="97">
        <f t="shared" si="82"/>
        <v>1</v>
      </c>
      <c r="AG514" s="44">
        <f t="shared" si="83"/>
        <v>1.0000000000000004</v>
      </c>
      <c r="AH514" s="55">
        <f t="shared" si="84"/>
        <v>0</v>
      </c>
      <c r="AI514" s="55">
        <f>COUNTIF('Score BD'!$M514:$P514,"no")</f>
        <v>0</v>
      </c>
      <c r="AJ514" s="55" t="str">
        <f t="shared" si="85"/>
        <v>-</v>
      </c>
      <c r="AK514" s="55" t="str">
        <f t="shared" si="86"/>
        <v>-</v>
      </c>
      <c r="AL514" s="55" t="str">
        <f t="shared" si="87"/>
        <v>-</v>
      </c>
      <c r="AM514" s="56"/>
      <c r="AN514" s="55"/>
      <c r="AO514" s="61"/>
      <c r="AP514" s="61"/>
      <c r="AQ514" s="59" t="str">
        <f>IFERROR(_xlfn.XLOOKUP(Tabla1[[#This Row],[Cedula agente]],Lista!$B$2:$B$97,Lista!$G$2:$G$97)," ")</f>
        <v xml:space="preserve"> </v>
      </c>
      <c r="AR514" s="59"/>
      <c r="AS514" s="55" t="str">
        <f>IFERROR(_xlfn.XLOOKUP(Tabla1[[#This Row],[Cedula agente]],Lista!$B$2:$B$97,Lista!$F$2:$F$97)," ")</f>
        <v xml:space="preserve"> </v>
      </c>
      <c r="AT514" s="99">
        <v>0.95</v>
      </c>
      <c r="AU514" s="200">
        <f>+WEEKNUM('Score BD'!$H514)-WEEKNUM(DATE(YEAR('Score BD'!$H514),MONTH('Score BD'!$H514),1))+1</f>
        <v>0</v>
      </c>
    </row>
    <row r="515" spans="1:47" ht="17.45" customHeight="1" x14ac:dyDescent="0.3">
      <c r="A515" s="49" t="str">
        <f t="shared" si="77"/>
        <v xml:space="preserve"> </v>
      </c>
      <c r="B515" s="50">
        <f>+IFERROR(COUNTIF($J$3:J515,J515)," ")</f>
        <v>0</v>
      </c>
      <c r="C515" s="54" t="str">
        <f>+'Score BD'!$J515&amp;'Score BD'!$B515</f>
        <v>0</v>
      </c>
      <c r="D515" s="91"/>
      <c r="E515" s="92"/>
      <c r="F515" s="92"/>
      <c r="G515" s="60" t="str">
        <f t="shared" si="78"/>
        <v>Enero</v>
      </c>
      <c r="H515" s="67"/>
      <c r="I515" s="243"/>
      <c r="J515" s="58"/>
      <c r="K515" s="54" t="str">
        <f>IFERROR(VLOOKUP('Score BD'!$J515,Lista!A:B,2,0)," ")</f>
        <v xml:space="preserve"> </v>
      </c>
      <c r="L515" s="61"/>
      <c r="M515" s="43"/>
      <c r="N515" s="43"/>
      <c r="O515" s="43"/>
      <c r="P515" s="43"/>
      <c r="Q515" s="96">
        <f t="shared" si="79"/>
        <v>1</v>
      </c>
      <c r="R515" s="43"/>
      <c r="S515" s="43"/>
      <c r="T515" s="43"/>
      <c r="U515" s="43"/>
      <c r="V515" s="45">
        <f t="shared" si="80"/>
        <v>1</v>
      </c>
      <c r="W515" s="43"/>
      <c r="X515" s="43"/>
      <c r="Y515" s="43"/>
      <c r="Z515" s="43"/>
      <c r="AA515" s="43"/>
      <c r="AB515" s="43"/>
      <c r="AC515" s="45">
        <f t="shared" si="81"/>
        <v>1.000000000000002</v>
      </c>
      <c r="AD515" s="43"/>
      <c r="AE515" s="43"/>
      <c r="AF515" s="97">
        <f t="shared" si="82"/>
        <v>1</v>
      </c>
      <c r="AG515" s="44">
        <f t="shared" si="83"/>
        <v>1.0000000000000004</v>
      </c>
      <c r="AH515" s="55">
        <f t="shared" si="84"/>
        <v>0</v>
      </c>
      <c r="AI515" s="55">
        <f>COUNTIF('Score BD'!$M515:$P515,"no")</f>
        <v>0</v>
      </c>
      <c r="AJ515" s="55" t="str">
        <f t="shared" si="85"/>
        <v>-</v>
      </c>
      <c r="AK515" s="55" t="str">
        <f t="shared" si="86"/>
        <v>-</v>
      </c>
      <c r="AL515" s="55" t="str">
        <f t="shared" si="87"/>
        <v>-</v>
      </c>
      <c r="AM515" s="56"/>
      <c r="AN515" s="55"/>
      <c r="AO515" s="61"/>
      <c r="AP515" s="61"/>
      <c r="AQ515" s="59" t="str">
        <f>IFERROR(_xlfn.XLOOKUP(Tabla1[[#This Row],[Cedula agente]],Lista!$B$2:$B$97,Lista!$G$2:$G$97)," ")</f>
        <v xml:space="preserve"> </v>
      </c>
      <c r="AR515" s="59"/>
      <c r="AS515" s="55" t="str">
        <f>IFERROR(_xlfn.XLOOKUP(Tabla1[[#This Row],[Cedula agente]],Lista!$B$2:$B$97,Lista!$F$2:$F$97)," ")</f>
        <v xml:space="preserve"> </v>
      </c>
      <c r="AT515" s="99">
        <v>0.95</v>
      </c>
      <c r="AU515" s="200">
        <f>+WEEKNUM('Score BD'!$H515)-WEEKNUM(DATE(YEAR('Score BD'!$H515),MONTH('Score BD'!$H515),1))+1</f>
        <v>0</v>
      </c>
    </row>
    <row r="516" spans="1:47" ht="17.45" customHeight="1" x14ac:dyDescent="0.3">
      <c r="A516" s="49" t="str">
        <f t="shared" ref="A516:A552" si="88">+IF(B516&gt;0,"Ministerio de Educación Nacional"," ")</f>
        <v xml:space="preserve"> </v>
      </c>
      <c r="B516" s="50">
        <f>+IFERROR(COUNTIF($J$3:J516,J516)," ")</f>
        <v>0</v>
      </c>
      <c r="C516" s="54" t="str">
        <f>+'Score BD'!$J516&amp;'Score BD'!$B516</f>
        <v>0</v>
      </c>
      <c r="D516" s="91"/>
      <c r="E516" s="92"/>
      <c r="F516" s="92"/>
      <c r="G516" s="60" t="str">
        <f t="shared" ref="G516:G552" si="89">+PROPER(TEXT(H516,"mmmm"))</f>
        <v>Enero</v>
      </c>
      <c r="H516" s="67"/>
      <c r="I516" s="243"/>
      <c r="J516" s="58"/>
      <c r="K516" s="54" t="str">
        <f>IFERROR(VLOOKUP('Score BD'!$J516,Lista!A:B,2,0)," ")</f>
        <v xml:space="preserve"> </v>
      </c>
      <c r="L516" s="61"/>
      <c r="M516" s="43"/>
      <c r="N516" s="43"/>
      <c r="O516" s="43"/>
      <c r="P516" s="43"/>
      <c r="Q516" s="96">
        <f t="shared" ref="Q516:Q552" si="90">+IF(M516="NO",0,25%)+IF(N516="NO",0,25%)+IF(O516="NO",0,25%)+IF(P516="NO",0,25%)</f>
        <v>1</v>
      </c>
      <c r="R516" s="43"/>
      <c r="S516" s="43"/>
      <c r="T516" s="43"/>
      <c r="U516" s="43"/>
      <c r="V516" s="45">
        <f t="shared" ref="V516:V552" si="91">+IF(R516="NO",0,25%)+IF(S516="NO",0,25%)+IF(T516="NO",0,25%)+IF(U516="NO",0,25%)</f>
        <v>1</v>
      </c>
      <c r="W516" s="43"/>
      <c r="X516" s="43"/>
      <c r="Y516" s="43"/>
      <c r="Z516" s="43"/>
      <c r="AA516" s="43"/>
      <c r="AB516" s="43"/>
      <c r="AC516" s="45">
        <f t="shared" ref="AC516:AC552" si="92">+IF(W516="NO",0%,16.6666666666667%)+IF(X516="NO",0%,16.6666666666667%)+IF(Y516="NO",0%,16.6666666666667%)+IF(Z516="NO",0%,16.6666666666667%)+IF(AA516="NO",0%,16.6666666666667%)+IF(AB516="NO",0%,16.6666666666667%)</f>
        <v>1.000000000000002</v>
      </c>
      <c r="AD516" s="43"/>
      <c r="AE516" s="43"/>
      <c r="AF516" s="97">
        <f t="shared" ref="AF516:AF552" si="93">+IF(AD516="NO",0%,50%)+IF(AE516="NO",0%,50%)</f>
        <v>1</v>
      </c>
      <c r="AG516" s="44">
        <f t="shared" ref="AG516:AG552" si="94">AVERAGE(AF516,AC516,V516,Q516)</f>
        <v>1.0000000000000004</v>
      </c>
      <c r="AH516" s="55">
        <f t="shared" ref="AH516:AH552" si="95">+COUNTIF(W516:AB516,"no")+COUNTIF(R516:U516,"no")+COUNTIF(AD516:AE516,"no")</f>
        <v>0</v>
      </c>
      <c r="AI516" s="55">
        <f>COUNTIF('Score BD'!$M516:$P516,"no")</f>
        <v>0</v>
      </c>
      <c r="AJ516" s="55" t="str">
        <f t="shared" ref="AJ516:AJ552" si="96">+IF(COUNTA(R516:U516)=0,"-",COUNTIF(R516:U516,"NO"))</f>
        <v>-</v>
      </c>
      <c r="AK516" s="55" t="str">
        <f t="shared" ref="AK516:AK552" si="97">+IF(COUNTA(W516:AB516)=0,"-",COUNTIF(W516:AB516,"NO"))</f>
        <v>-</v>
      </c>
      <c r="AL516" s="55" t="str">
        <f t="shared" ref="AL516:AL552" si="98">+IF(COUNTA(AD516:AE516)=0,"-",COUNTIF(AD516:AE516,"NO"))</f>
        <v>-</v>
      </c>
      <c r="AM516" s="56"/>
      <c r="AN516" s="55"/>
      <c r="AO516" s="61"/>
      <c r="AP516" s="61"/>
      <c r="AQ516" s="59" t="str">
        <f>IFERROR(_xlfn.XLOOKUP(Tabla1[[#This Row],[Cedula agente]],Lista!$B$2:$B$97,Lista!$G$2:$G$97)," ")</f>
        <v xml:space="preserve"> </v>
      </c>
      <c r="AR516" s="59"/>
      <c r="AS516" s="55" t="str">
        <f>IFERROR(_xlfn.XLOOKUP(Tabla1[[#This Row],[Cedula agente]],Lista!$B$2:$B$97,Lista!$F$2:$F$97)," ")</f>
        <v xml:space="preserve"> </v>
      </c>
      <c r="AT516" s="99">
        <v>0.95</v>
      </c>
      <c r="AU516" s="200">
        <f>+WEEKNUM('Score BD'!$H516)-WEEKNUM(DATE(YEAR('Score BD'!$H516),MONTH('Score BD'!$H516),1))+1</f>
        <v>0</v>
      </c>
    </row>
    <row r="517" spans="1:47" ht="17.45" customHeight="1" x14ac:dyDescent="0.3">
      <c r="A517" s="49" t="str">
        <f t="shared" si="88"/>
        <v xml:space="preserve"> </v>
      </c>
      <c r="B517" s="50">
        <f>+IFERROR(COUNTIF($J$3:J517,J517)," ")</f>
        <v>0</v>
      </c>
      <c r="C517" s="54" t="str">
        <f>+'Score BD'!$J517&amp;'Score BD'!$B517</f>
        <v>0</v>
      </c>
      <c r="D517" s="91"/>
      <c r="E517" s="92"/>
      <c r="F517" s="92"/>
      <c r="G517" s="60" t="str">
        <f t="shared" si="89"/>
        <v>Enero</v>
      </c>
      <c r="H517" s="67"/>
      <c r="I517" s="156"/>
      <c r="J517" s="58"/>
      <c r="K517" s="54" t="str">
        <f>IFERROR(VLOOKUP('Score BD'!$J517,Lista!A:B,2,0)," ")</f>
        <v xml:space="preserve"> </v>
      </c>
      <c r="L517" s="61"/>
      <c r="M517" s="43"/>
      <c r="N517" s="43"/>
      <c r="O517" s="43"/>
      <c r="P517" s="43"/>
      <c r="Q517" s="96">
        <f t="shared" si="90"/>
        <v>1</v>
      </c>
      <c r="R517" s="43"/>
      <c r="S517" s="43"/>
      <c r="T517" s="43"/>
      <c r="U517" s="43"/>
      <c r="V517" s="45">
        <f t="shared" si="91"/>
        <v>1</v>
      </c>
      <c r="W517" s="43"/>
      <c r="X517" s="43"/>
      <c r="Y517" s="43"/>
      <c r="Z517" s="43"/>
      <c r="AA517" s="43"/>
      <c r="AB517" s="43"/>
      <c r="AC517" s="45">
        <f t="shared" si="92"/>
        <v>1.000000000000002</v>
      </c>
      <c r="AD517" s="43"/>
      <c r="AE517" s="43"/>
      <c r="AF517" s="97">
        <f t="shared" si="93"/>
        <v>1</v>
      </c>
      <c r="AG517" s="44">
        <f t="shared" si="94"/>
        <v>1.0000000000000004</v>
      </c>
      <c r="AH517" s="55">
        <f t="shared" si="95"/>
        <v>0</v>
      </c>
      <c r="AI517" s="55">
        <f>COUNTIF('Score BD'!$M517:$P517,"no")</f>
        <v>0</v>
      </c>
      <c r="AJ517" s="55" t="str">
        <f t="shared" si="96"/>
        <v>-</v>
      </c>
      <c r="AK517" s="55" t="str">
        <f t="shared" si="97"/>
        <v>-</v>
      </c>
      <c r="AL517" s="55" t="str">
        <f t="shared" si="98"/>
        <v>-</v>
      </c>
      <c r="AM517" s="56"/>
      <c r="AN517" s="55"/>
      <c r="AO517" s="61"/>
      <c r="AP517" s="61"/>
      <c r="AQ517" s="59" t="str">
        <f>IFERROR(_xlfn.XLOOKUP(Tabla1[[#This Row],[Cedula agente]],Lista!$B$2:$B$97,Lista!$G$2:$G$97)," ")</f>
        <v xml:space="preserve"> </v>
      </c>
      <c r="AR517" s="59"/>
      <c r="AS517" s="55" t="str">
        <f>IFERROR(_xlfn.XLOOKUP(Tabla1[[#This Row],[Cedula agente]],Lista!$B$2:$B$97,Lista!$F$2:$F$97)," ")</f>
        <v xml:space="preserve"> </v>
      </c>
      <c r="AT517" s="99">
        <v>0.95</v>
      </c>
      <c r="AU517" s="200">
        <f>+WEEKNUM('Score BD'!$H517)-WEEKNUM(DATE(YEAR('Score BD'!$H517),MONTH('Score BD'!$H517),1))+1</f>
        <v>0</v>
      </c>
    </row>
    <row r="518" spans="1:47" ht="17.45" customHeight="1" x14ac:dyDescent="0.3">
      <c r="A518" s="49" t="str">
        <f t="shared" si="88"/>
        <v xml:space="preserve"> </v>
      </c>
      <c r="B518" s="50">
        <f>+IFERROR(COUNTIF($J$3:J518,J518)," ")</f>
        <v>0</v>
      </c>
      <c r="C518" s="54" t="str">
        <f>+'Score BD'!$J518&amp;'Score BD'!$B518</f>
        <v>0</v>
      </c>
      <c r="D518" s="91"/>
      <c r="E518" s="92"/>
      <c r="F518" s="92"/>
      <c r="G518" s="60" t="str">
        <f t="shared" si="89"/>
        <v>Enero</v>
      </c>
      <c r="H518" s="67"/>
      <c r="I518" s="156"/>
      <c r="J518" s="58"/>
      <c r="K518" s="54" t="str">
        <f>IFERROR(VLOOKUP('Score BD'!$J518,Lista!A:B,2,0)," ")</f>
        <v xml:space="preserve"> </v>
      </c>
      <c r="L518" s="61"/>
      <c r="M518" s="43"/>
      <c r="N518" s="43"/>
      <c r="O518" s="43"/>
      <c r="P518" s="43"/>
      <c r="Q518" s="96">
        <f t="shared" si="90"/>
        <v>1</v>
      </c>
      <c r="R518" s="43"/>
      <c r="S518" s="43"/>
      <c r="T518" s="43"/>
      <c r="U518" s="43"/>
      <c r="V518" s="45">
        <f t="shared" si="91"/>
        <v>1</v>
      </c>
      <c r="W518" s="43"/>
      <c r="X518" s="43"/>
      <c r="Y518" s="43"/>
      <c r="Z518" s="43"/>
      <c r="AA518" s="43"/>
      <c r="AB518" s="43"/>
      <c r="AC518" s="45">
        <f t="shared" si="92"/>
        <v>1.000000000000002</v>
      </c>
      <c r="AD518" s="43"/>
      <c r="AE518" s="43"/>
      <c r="AF518" s="97">
        <f t="shared" si="93"/>
        <v>1</v>
      </c>
      <c r="AG518" s="44">
        <f t="shared" si="94"/>
        <v>1.0000000000000004</v>
      </c>
      <c r="AH518" s="55">
        <f t="shared" si="95"/>
        <v>0</v>
      </c>
      <c r="AI518" s="55">
        <f>COUNTIF('Score BD'!$M518:$P518,"no")</f>
        <v>0</v>
      </c>
      <c r="AJ518" s="55" t="str">
        <f t="shared" si="96"/>
        <v>-</v>
      </c>
      <c r="AK518" s="55" t="str">
        <f t="shared" si="97"/>
        <v>-</v>
      </c>
      <c r="AL518" s="55" t="str">
        <f t="shared" si="98"/>
        <v>-</v>
      </c>
      <c r="AM518" s="56"/>
      <c r="AN518" s="55"/>
      <c r="AO518" s="61"/>
      <c r="AP518" s="61"/>
      <c r="AQ518" s="59" t="str">
        <f>IFERROR(_xlfn.XLOOKUP(Tabla1[[#This Row],[Cedula agente]],Lista!$B$2:$B$97,Lista!$G$2:$G$97)," ")</f>
        <v xml:space="preserve"> </v>
      </c>
      <c r="AR518" s="59"/>
      <c r="AS518" s="55" t="str">
        <f>IFERROR(_xlfn.XLOOKUP(Tabla1[[#This Row],[Cedula agente]],Lista!$B$2:$B$97,Lista!$F$2:$F$97)," ")</f>
        <v xml:space="preserve"> </v>
      </c>
      <c r="AT518" s="99">
        <v>0.95</v>
      </c>
      <c r="AU518" s="200">
        <f>+WEEKNUM('Score BD'!$H518)-WEEKNUM(DATE(YEAR('Score BD'!$H518),MONTH('Score BD'!$H518),1))+1</f>
        <v>0</v>
      </c>
    </row>
    <row r="519" spans="1:47" ht="17.45" customHeight="1" x14ac:dyDescent="0.3">
      <c r="A519" s="49" t="str">
        <f t="shared" si="88"/>
        <v xml:space="preserve"> </v>
      </c>
      <c r="B519" s="50">
        <f>+IFERROR(COUNTIF($J$3:J519,J519)," ")</f>
        <v>0</v>
      </c>
      <c r="C519" s="54" t="str">
        <f>+'Score BD'!$J519&amp;'Score BD'!$B519</f>
        <v>0</v>
      </c>
      <c r="D519" s="91"/>
      <c r="E519" s="92"/>
      <c r="F519" s="92"/>
      <c r="G519" s="60" t="str">
        <f t="shared" si="89"/>
        <v>Enero</v>
      </c>
      <c r="H519" s="67"/>
      <c r="I519" s="156"/>
      <c r="J519" s="58"/>
      <c r="K519" s="54" t="str">
        <f>IFERROR(VLOOKUP('Score BD'!$J519,Lista!A:B,2,0)," ")</f>
        <v xml:space="preserve"> </v>
      </c>
      <c r="L519" s="61"/>
      <c r="M519" s="43"/>
      <c r="N519" s="43"/>
      <c r="O519" s="43"/>
      <c r="P519" s="43"/>
      <c r="Q519" s="96">
        <f t="shared" si="90"/>
        <v>1</v>
      </c>
      <c r="R519" s="43"/>
      <c r="S519" s="43"/>
      <c r="T519" s="43"/>
      <c r="U519" s="43"/>
      <c r="V519" s="45">
        <f t="shared" si="91"/>
        <v>1</v>
      </c>
      <c r="W519" s="43"/>
      <c r="X519" s="43"/>
      <c r="Y519" s="43"/>
      <c r="Z519" s="43"/>
      <c r="AA519" s="43"/>
      <c r="AB519" s="43"/>
      <c r="AC519" s="45">
        <f t="shared" si="92"/>
        <v>1.000000000000002</v>
      </c>
      <c r="AD519" s="43"/>
      <c r="AE519" s="43"/>
      <c r="AF519" s="97">
        <f t="shared" si="93"/>
        <v>1</v>
      </c>
      <c r="AG519" s="44">
        <f t="shared" si="94"/>
        <v>1.0000000000000004</v>
      </c>
      <c r="AH519" s="55">
        <f t="shared" si="95"/>
        <v>0</v>
      </c>
      <c r="AI519" s="55">
        <f>COUNTIF('Score BD'!$M519:$P519,"no")</f>
        <v>0</v>
      </c>
      <c r="AJ519" s="55" t="str">
        <f t="shared" si="96"/>
        <v>-</v>
      </c>
      <c r="AK519" s="55" t="str">
        <f t="shared" si="97"/>
        <v>-</v>
      </c>
      <c r="AL519" s="55" t="str">
        <f t="shared" si="98"/>
        <v>-</v>
      </c>
      <c r="AM519" s="56"/>
      <c r="AN519" s="55"/>
      <c r="AO519" s="61"/>
      <c r="AP519" s="61"/>
      <c r="AQ519" s="59" t="str">
        <f>IFERROR(_xlfn.XLOOKUP(Tabla1[[#This Row],[Cedula agente]],Lista!$B$2:$B$97,Lista!$G$2:$G$97)," ")</f>
        <v xml:space="preserve"> </v>
      </c>
      <c r="AR519" s="59"/>
      <c r="AS519" s="55" t="str">
        <f>IFERROR(_xlfn.XLOOKUP(Tabla1[[#This Row],[Cedula agente]],Lista!$B$2:$B$97,Lista!$F$2:$F$97)," ")</f>
        <v xml:space="preserve"> </v>
      </c>
      <c r="AT519" s="99">
        <v>0.95</v>
      </c>
      <c r="AU519" s="200">
        <f>+WEEKNUM('Score BD'!$H519)-WEEKNUM(DATE(YEAR('Score BD'!$H519),MONTH('Score BD'!$H519),1))+1</f>
        <v>0</v>
      </c>
    </row>
    <row r="520" spans="1:47" ht="17.45" customHeight="1" x14ac:dyDescent="0.3">
      <c r="A520" s="49" t="str">
        <f t="shared" si="88"/>
        <v xml:space="preserve"> </v>
      </c>
      <c r="B520" s="50">
        <f>+IFERROR(COUNTIF($J$3:J520,J520)," ")</f>
        <v>0</v>
      </c>
      <c r="C520" s="54" t="str">
        <f>+'Score BD'!$J520&amp;'Score BD'!$B520</f>
        <v>0</v>
      </c>
      <c r="D520" s="91"/>
      <c r="E520" s="92"/>
      <c r="F520" s="92"/>
      <c r="G520" s="60" t="str">
        <f t="shared" si="89"/>
        <v>Enero</v>
      </c>
      <c r="H520" s="67"/>
      <c r="I520" s="156"/>
      <c r="J520" s="58"/>
      <c r="K520" s="54" t="str">
        <f>IFERROR(VLOOKUP('Score BD'!$J520,Lista!A:B,2,0)," ")</f>
        <v xml:space="preserve"> </v>
      </c>
      <c r="L520" s="61"/>
      <c r="M520" s="43"/>
      <c r="N520" s="43"/>
      <c r="O520" s="43"/>
      <c r="P520" s="43"/>
      <c r="Q520" s="96">
        <f t="shared" si="90"/>
        <v>1</v>
      </c>
      <c r="R520" s="43"/>
      <c r="S520" s="43"/>
      <c r="T520" s="43"/>
      <c r="U520" s="43"/>
      <c r="V520" s="45">
        <f t="shared" si="91"/>
        <v>1</v>
      </c>
      <c r="W520" s="43"/>
      <c r="X520" s="43"/>
      <c r="Y520" s="43"/>
      <c r="Z520" s="43"/>
      <c r="AA520" s="43"/>
      <c r="AB520" s="43"/>
      <c r="AC520" s="45">
        <f t="shared" si="92"/>
        <v>1.000000000000002</v>
      </c>
      <c r="AD520" s="43"/>
      <c r="AE520" s="43"/>
      <c r="AF520" s="97">
        <f t="shared" si="93"/>
        <v>1</v>
      </c>
      <c r="AG520" s="44">
        <f t="shared" si="94"/>
        <v>1.0000000000000004</v>
      </c>
      <c r="AH520" s="55">
        <f t="shared" si="95"/>
        <v>0</v>
      </c>
      <c r="AI520" s="55">
        <f>COUNTIF('Score BD'!$M520:$P520,"no")</f>
        <v>0</v>
      </c>
      <c r="AJ520" s="55" t="str">
        <f t="shared" si="96"/>
        <v>-</v>
      </c>
      <c r="AK520" s="55" t="str">
        <f t="shared" si="97"/>
        <v>-</v>
      </c>
      <c r="AL520" s="55" t="str">
        <f t="shared" si="98"/>
        <v>-</v>
      </c>
      <c r="AM520" s="56"/>
      <c r="AN520" s="55"/>
      <c r="AO520" s="61"/>
      <c r="AP520" s="61"/>
      <c r="AQ520" s="59" t="str">
        <f>IFERROR(_xlfn.XLOOKUP(Tabla1[[#This Row],[Cedula agente]],Lista!$B$2:$B$97,Lista!$G$2:$G$97)," ")</f>
        <v xml:space="preserve"> </v>
      </c>
      <c r="AR520" s="59"/>
      <c r="AS520" s="55" t="str">
        <f>IFERROR(_xlfn.XLOOKUP(Tabla1[[#This Row],[Cedula agente]],Lista!$B$2:$B$97,Lista!$F$2:$F$97)," ")</f>
        <v xml:space="preserve"> </v>
      </c>
      <c r="AT520" s="99">
        <v>0.95</v>
      </c>
      <c r="AU520" s="200">
        <f>+WEEKNUM('Score BD'!$H520)-WEEKNUM(DATE(YEAR('Score BD'!$H520),MONTH('Score BD'!$H520),1))+1</f>
        <v>0</v>
      </c>
    </row>
    <row r="521" spans="1:47" ht="17.45" customHeight="1" x14ac:dyDescent="0.3">
      <c r="A521" s="49" t="str">
        <f t="shared" si="88"/>
        <v xml:space="preserve"> </v>
      </c>
      <c r="B521" s="50">
        <f>+IFERROR(COUNTIF($J$3:J521,J521)," ")</f>
        <v>0</v>
      </c>
      <c r="C521" s="54" t="str">
        <f>+'Score BD'!$J521&amp;'Score BD'!$B521</f>
        <v>0</v>
      </c>
      <c r="D521" s="91"/>
      <c r="E521" s="92"/>
      <c r="F521" s="92"/>
      <c r="G521" s="60" t="str">
        <f t="shared" si="89"/>
        <v>Enero</v>
      </c>
      <c r="H521" s="67"/>
      <c r="I521" s="156"/>
      <c r="J521" s="58"/>
      <c r="K521" s="54" t="str">
        <f>IFERROR(VLOOKUP('Score BD'!$J521,Lista!A:B,2,0)," ")</f>
        <v xml:space="preserve"> </v>
      </c>
      <c r="L521" s="61"/>
      <c r="M521" s="43"/>
      <c r="N521" s="43"/>
      <c r="O521" s="43"/>
      <c r="P521" s="43"/>
      <c r="Q521" s="96">
        <f t="shared" si="90"/>
        <v>1</v>
      </c>
      <c r="R521" s="43"/>
      <c r="S521" s="43"/>
      <c r="T521" s="43"/>
      <c r="U521" s="43"/>
      <c r="V521" s="45">
        <f t="shared" si="91"/>
        <v>1</v>
      </c>
      <c r="W521" s="43"/>
      <c r="X521" s="43"/>
      <c r="Y521" s="43"/>
      <c r="Z521" s="43"/>
      <c r="AA521" s="43"/>
      <c r="AB521" s="43"/>
      <c r="AC521" s="45">
        <f t="shared" si="92"/>
        <v>1.000000000000002</v>
      </c>
      <c r="AD521" s="43"/>
      <c r="AE521" s="43"/>
      <c r="AF521" s="97">
        <f t="shared" si="93"/>
        <v>1</v>
      </c>
      <c r="AG521" s="44">
        <f t="shared" si="94"/>
        <v>1.0000000000000004</v>
      </c>
      <c r="AH521" s="55">
        <f t="shared" si="95"/>
        <v>0</v>
      </c>
      <c r="AI521" s="55">
        <f>COUNTIF('Score BD'!$M521:$P521,"no")</f>
        <v>0</v>
      </c>
      <c r="AJ521" s="55" t="str">
        <f t="shared" si="96"/>
        <v>-</v>
      </c>
      <c r="AK521" s="55" t="str">
        <f t="shared" si="97"/>
        <v>-</v>
      </c>
      <c r="AL521" s="55" t="str">
        <f t="shared" si="98"/>
        <v>-</v>
      </c>
      <c r="AM521" s="56"/>
      <c r="AN521" s="55"/>
      <c r="AO521" s="61"/>
      <c r="AP521" s="61"/>
      <c r="AQ521" s="59" t="str">
        <f>IFERROR(_xlfn.XLOOKUP(Tabla1[[#This Row],[Cedula agente]],Lista!$B$2:$B$97,Lista!$G$2:$G$97)," ")</f>
        <v xml:space="preserve"> </v>
      </c>
      <c r="AR521" s="59"/>
      <c r="AS521" s="55" t="str">
        <f>IFERROR(_xlfn.XLOOKUP(Tabla1[[#This Row],[Cedula agente]],Lista!$B$2:$B$97,Lista!$F$2:$F$97)," ")</f>
        <v xml:space="preserve"> </v>
      </c>
      <c r="AT521" s="99">
        <v>0.95</v>
      </c>
      <c r="AU521" s="200">
        <f>+WEEKNUM('Score BD'!$H521)-WEEKNUM(DATE(YEAR('Score BD'!$H521),MONTH('Score BD'!$H521),1))+1</f>
        <v>0</v>
      </c>
    </row>
    <row r="522" spans="1:47" ht="17.45" customHeight="1" x14ac:dyDescent="0.3">
      <c r="A522" s="49" t="str">
        <f t="shared" si="88"/>
        <v xml:space="preserve"> </v>
      </c>
      <c r="B522" s="50">
        <f>+IFERROR(COUNTIF($J$3:J522,J522)," ")</f>
        <v>0</v>
      </c>
      <c r="C522" s="54" t="str">
        <f>+'Score BD'!$J522&amp;'Score BD'!$B522</f>
        <v>0</v>
      </c>
      <c r="D522" s="91"/>
      <c r="E522" s="92"/>
      <c r="F522" s="92"/>
      <c r="G522" s="60" t="str">
        <f t="shared" si="89"/>
        <v>Enero</v>
      </c>
      <c r="H522" s="67"/>
      <c r="I522" s="156"/>
      <c r="J522" s="58"/>
      <c r="K522" s="54" t="str">
        <f>IFERROR(VLOOKUP('Score BD'!$J522,Lista!A:B,2,0)," ")</f>
        <v xml:space="preserve"> </v>
      </c>
      <c r="L522" s="61"/>
      <c r="M522" s="43"/>
      <c r="N522" s="43"/>
      <c r="O522" s="43"/>
      <c r="P522" s="43"/>
      <c r="Q522" s="96">
        <f t="shared" si="90"/>
        <v>1</v>
      </c>
      <c r="R522" s="43"/>
      <c r="S522" s="43"/>
      <c r="T522" s="43"/>
      <c r="U522" s="43"/>
      <c r="V522" s="45">
        <f t="shared" si="91"/>
        <v>1</v>
      </c>
      <c r="W522" s="43"/>
      <c r="X522" s="43"/>
      <c r="Y522" s="43"/>
      <c r="Z522" s="43"/>
      <c r="AA522" s="43"/>
      <c r="AB522" s="43"/>
      <c r="AC522" s="45">
        <f t="shared" si="92"/>
        <v>1.000000000000002</v>
      </c>
      <c r="AD522" s="43"/>
      <c r="AE522" s="43"/>
      <c r="AF522" s="97">
        <f t="shared" si="93"/>
        <v>1</v>
      </c>
      <c r="AG522" s="44">
        <f t="shared" si="94"/>
        <v>1.0000000000000004</v>
      </c>
      <c r="AH522" s="55">
        <f t="shared" si="95"/>
        <v>0</v>
      </c>
      <c r="AI522" s="55">
        <f>COUNTIF('Score BD'!$M522:$P522,"no")</f>
        <v>0</v>
      </c>
      <c r="AJ522" s="55" t="str">
        <f t="shared" si="96"/>
        <v>-</v>
      </c>
      <c r="AK522" s="55" t="str">
        <f t="shared" si="97"/>
        <v>-</v>
      </c>
      <c r="AL522" s="55" t="str">
        <f t="shared" si="98"/>
        <v>-</v>
      </c>
      <c r="AM522" s="56"/>
      <c r="AN522" s="55"/>
      <c r="AO522" s="61"/>
      <c r="AP522" s="61"/>
      <c r="AQ522" s="59" t="str">
        <f>IFERROR(_xlfn.XLOOKUP(Tabla1[[#This Row],[Cedula agente]],Lista!$B$2:$B$97,Lista!$G$2:$G$97)," ")</f>
        <v xml:space="preserve"> </v>
      </c>
      <c r="AR522" s="59"/>
      <c r="AS522" s="55" t="str">
        <f>IFERROR(_xlfn.XLOOKUP(Tabla1[[#This Row],[Cedula agente]],Lista!$B$2:$B$97,Lista!$F$2:$F$97)," ")</f>
        <v xml:space="preserve"> </v>
      </c>
      <c r="AT522" s="99">
        <v>0.95</v>
      </c>
      <c r="AU522" s="200">
        <f>+WEEKNUM('Score BD'!$H522)-WEEKNUM(DATE(YEAR('Score BD'!$H522),MONTH('Score BD'!$H522),1))+1</f>
        <v>0</v>
      </c>
    </row>
    <row r="523" spans="1:47" ht="17.45" customHeight="1" x14ac:dyDescent="0.3">
      <c r="A523" s="49" t="str">
        <f t="shared" si="88"/>
        <v xml:space="preserve"> </v>
      </c>
      <c r="B523" s="50">
        <f>+IFERROR(COUNTIF($J$3:J523,J523)," ")</f>
        <v>0</v>
      </c>
      <c r="C523" s="54" t="str">
        <f>+'Score BD'!$J523&amp;'Score BD'!$B523</f>
        <v>0</v>
      </c>
      <c r="D523" s="91"/>
      <c r="E523" s="92"/>
      <c r="F523" s="92"/>
      <c r="G523" s="60" t="str">
        <f t="shared" si="89"/>
        <v>Enero</v>
      </c>
      <c r="H523" s="67"/>
      <c r="I523" s="156"/>
      <c r="J523" s="58"/>
      <c r="K523" s="54" t="str">
        <f>IFERROR(VLOOKUP('Score BD'!$J523,Lista!A:B,2,0)," ")</f>
        <v xml:space="preserve"> </v>
      </c>
      <c r="L523" s="61"/>
      <c r="M523" s="43"/>
      <c r="N523" s="43"/>
      <c r="O523" s="43"/>
      <c r="P523" s="43"/>
      <c r="Q523" s="96">
        <f t="shared" si="90"/>
        <v>1</v>
      </c>
      <c r="R523" s="43"/>
      <c r="S523" s="43"/>
      <c r="T523" s="43"/>
      <c r="U523" s="43"/>
      <c r="V523" s="45">
        <f t="shared" si="91"/>
        <v>1</v>
      </c>
      <c r="W523" s="43"/>
      <c r="X523" s="43"/>
      <c r="Y523" s="43"/>
      <c r="Z523" s="43"/>
      <c r="AA523" s="43"/>
      <c r="AB523" s="43"/>
      <c r="AC523" s="45">
        <f t="shared" si="92"/>
        <v>1.000000000000002</v>
      </c>
      <c r="AD523" s="43"/>
      <c r="AE523" s="43"/>
      <c r="AF523" s="97">
        <f t="shared" si="93"/>
        <v>1</v>
      </c>
      <c r="AG523" s="44">
        <f t="shared" si="94"/>
        <v>1.0000000000000004</v>
      </c>
      <c r="AH523" s="55">
        <f t="shared" si="95"/>
        <v>0</v>
      </c>
      <c r="AI523" s="55">
        <f>COUNTIF('Score BD'!$M523:$P523,"no")</f>
        <v>0</v>
      </c>
      <c r="AJ523" s="55" t="str">
        <f t="shared" si="96"/>
        <v>-</v>
      </c>
      <c r="AK523" s="55" t="str">
        <f t="shared" si="97"/>
        <v>-</v>
      </c>
      <c r="AL523" s="55" t="str">
        <f t="shared" si="98"/>
        <v>-</v>
      </c>
      <c r="AM523" s="56"/>
      <c r="AN523" s="55"/>
      <c r="AO523" s="61"/>
      <c r="AP523" s="61"/>
      <c r="AQ523" s="59" t="str">
        <f>IFERROR(_xlfn.XLOOKUP(Tabla1[[#This Row],[Cedula agente]],Lista!$B$2:$B$97,Lista!$G$2:$G$97)," ")</f>
        <v xml:space="preserve"> </v>
      </c>
      <c r="AR523" s="59"/>
      <c r="AS523" s="55" t="str">
        <f>IFERROR(_xlfn.XLOOKUP(Tabla1[[#This Row],[Cedula agente]],Lista!$B$2:$B$97,Lista!$F$2:$F$97)," ")</f>
        <v xml:space="preserve"> </v>
      </c>
      <c r="AT523" s="99">
        <v>0.95</v>
      </c>
      <c r="AU523" s="200">
        <f>+WEEKNUM('Score BD'!$H523)-WEEKNUM(DATE(YEAR('Score BD'!$H523),MONTH('Score BD'!$H523),1))+1</f>
        <v>0</v>
      </c>
    </row>
    <row r="524" spans="1:47" ht="17.45" customHeight="1" x14ac:dyDescent="0.3">
      <c r="A524" s="49" t="str">
        <f t="shared" si="88"/>
        <v xml:space="preserve"> </v>
      </c>
      <c r="B524" s="50">
        <f>+IFERROR(COUNTIF($J$3:J524,J524)," ")</f>
        <v>0</v>
      </c>
      <c r="C524" s="54" t="str">
        <f>+'Score BD'!$J524&amp;'Score BD'!$B524</f>
        <v>0</v>
      </c>
      <c r="D524" s="91"/>
      <c r="E524" s="92"/>
      <c r="F524" s="92"/>
      <c r="G524" s="60" t="str">
        <f t="shared" si="89"/>
        <v>Enero</v>
      </c>
      <c r="H524" s="67"/>
      <c r="I524" s="156"/>
      <c r="J524" s="58"/>
      <c r="K524" s="54" t="str">
        <f>IFERROR(VLOOKUP('Score BD'!$J524,Lista!A:B,2,0)," ")</f>
        <v xml:space="preserve"> </v>
      </c>
      <c r="L524" s="61"/>
      <c r="M524" s="43"/>
      <c r="N524" s="43"/>
      <c r="O524" s="43"/>
      <c r="P524" s="43"/>
      <c r="Q524" s="96">
        <f t="shared" si="90"/>
        <v>1</v>
      </c>
      <c r="R524" s="43"/>
      <c r="S524" s="43"/>
      <c r="T524" s="43"/>
      <c r="U524" s="43"/>
      <c r="V524" s="45">
        <f t="shared" si="91"/>
        <v>1</v>
      </c>
      <c r="W524" s="43"/>
      <c r="X524" s="43"/>
      <c r="Y524" s="43"/>
      <c r="Z524" s="43"/>
      <c r="AA524" s="43"/>
      <c r="AB524" s="43"/>
      <c r="AC524" s="45">
        <f t="shared" si="92"/>
        <v>1.000000000000002</v>
      </c>
      <c r="AD524" s="43"/>
      <c r="AE524" s="43"/>
      <c r="AF524" s="97">
        <f t="shared" si="93"/>
        <v>1</v>
      </c>
      <c r="AG524" s="44">
        <f t="shared" si="94"/>
        <v>1.0000000000000004</v>
      </c>
      <c r="AH524" s="55">
        <f t="shared" si="95"/>
        <v>0</v>
      </c>
      <c r="AI524" s="55">
        <f>COUNTIF('Score BD'!$M524:$P524,"no")</f>
        <v>0</v>
      </c>
      <c r="AJ524" s="55" t="str">
        <f t="shared" si="96"/>
        <v>-</v>
      </c>
      <c r="AK524" s="55" t="str">
        <f t="shared" si="97"/>
        <v>-</v>
      </c>
      <c r="AL524" s="55" t="str">
        <f t="shared" si="98"/>
        <v>-</v>
      </c>
      <c r="AM524" s="56"/>
      <c r="AN524" s="55"/>
      <c r="AO524" s="61"/>
      <c r="AP524" s="61"/>
      <c r="AQ524" s="59" t="str">
        <f>IFERROR(_xlfn.XLOOKUP(Tabla1[[#This Row],[Cedula agente]],Lista!$B$2:$B$97,Lista!$G$2:$G$97)," ")</f>
        <v xml:space="preserve"> </v>
      </c>
      <c r="AR524" s="59"/>
      <c r="AS524" s="55" t="str">
        <f>IFERROR(_xlfn.XLOOKUP(Tabla1[[#This Row],[Cedula agente]],Lista!$B$2:$B$97,Lista!$F$2:$F$97)," ")</f>
        <v xml:space="preserve"> </v>
      </c>
      <c r="AT524" s="99">
        <v>0.95</v>
      </c>
      <c r="AU524" s="200">
        <f>+WEEKNUM('Score BD'!$H524)-WEEKNUM(DATE(YEAR('Score BD'!$H524),MONTH('Score BD'!$H524),1))+1</f>
        <v>0</v>
      </c>
    </row>
    <row r="525" spans="1:47" ht="17.45" customHeight="1" x14ac:dyDescent="0.3">
      <c r="A525" s="49" t="str">
        <f t="shared" si="88"/>
        <v xml:space="preserve"> </v>
      </c>
      <c r="B525" s="50">
        <f>+IFERROR(COUNTIF($J$3:J525,J525)," ")</f>
        <v>0</v>
      </c>
      <c r="C525" s="54" t="str">
        <f>+'Score BD'!$J525&amp;'Score BD'!$B525</f>
        <v>0</v>
      </c>
      <c r="D525" s="91"/>
      <c r="E525" s="92"/>
      <c r="F525" s="92"/>
      <c r="G525" s="60" t="str">
        <f t="shared" si="89"/>
        <v>Enero</v>
      </c>
      <c r="H525" s="67"/>
      <c r="I525" s="156"/>
      <c r="J525" s="58"/>
      <c r="K525" s="54" t="str">
        <f>IFERROR(VLOOKUP('Score BD'!$J525,Lista!A:B,2,0)," ")</f>
        <v xml:space="preserve"> </v>
      </c>
      <c r="L525" s="61"/>
      <c r="M525" s="43"/>
      <c r="N525" s="43"/>
      <c r="O525" s="43"/>
      <c r="P525" s="43"/>
      <c r="Q525" s="96">
        <f t="shared" si="90"/>
        <v>1</v>
      </c>
      <c r="R525" s="43"/>
      <c r="S525" s="43"/>
      <c r="T525" s="43"/>
      <c r="U525" s="43"/>
      <c r="V525" s="45">
        <f t="shared" si="91"/>
        <v>1</v>
      </c>
      <c r="W525" s="43"/>
      <c r="X525" s="43"/>
      <c r="Y525" s="43"/>
      <c r="Z525" s="43"/>
      <c r="AA525" s="43"/>
      <c r="AB525" s="43"/>
      <c r="AC525" s="45">
        <f t="shared" si="92"/>
        <v>1.000000000000002</v>
      </c>
      <c r="AD525" s="43"/>
      <c r="AE525" s="43"/>
      <c r="AF525" s="97">
        <f t="shared" si="93"/>
        <v>1</v>
      </c>
      <c r="AG525" s="44">
        <f t="shared" si="94"/>
        <v>1.0000000000000004</v>
      </c>
      <c r="AH525" s="55">
        <f t="shared" si="95"/>
        <v>0</v>
      </c>
      <c r="AI525" s="55">
        <f>COUNTIF('Score BD'!$M525:$P525,"no")</f>
        <v>0</v>
      </c>
      <c r="AJ525" s="55" t="str">
        <f t="shared" si="96"/>
        <v>-</v>
      </c>
      <c r="AK525" s="55" t="str">
        <f t="shared" si="97"/>
        <v>-</v>
      </c>
      <c r="AL525" s="55" t="str">
        <f t="shared" si="98"/>
        <v>-</v>
      </c>
      <c r="AM525" s="56"/>
      <c r="AN525" s="55"/>
      <c r="AO525" s="61"/>
      <c r="AP525" s="61"/>
      <c r="AQ525" s="59" t="str">
        <f>IFERROR(_xlfn.XLOOKUP(Tabla1[[#This Row],[Cedula agente]],Lista!$B$2:$B$97,Lista!$G$2:$G$97)," ")</f>
        <v xml:space="preserve"> </v>
      </c>
      <c r="AR525" s="59"/>
      <c r="AS525" s="55" t="str">
        <f>IFERROR(_xlfn.XLOOKUP(Tabla1[[#This Row],[Cedula agente]],Lista!$B$2:$B$97,Lista!$F$2:$F$97)," ")</f>
        <v xml:space="preserve"> </v>
      </c>
      <c r="AT525" s="99">
        <v>0.95</v>
      </c>
      <c r="AU525" s="200">
        <f>+WEEKNUM('Score BD'!$H525)-WEEKNUM(DATE(YEAR('Score BD'!$H525),MONTH('Score BD'!$H525),1))+1</f>
        <v>0</v>
      </c>
    </row>
    <row r="526" spans="1:47" ht="17.45" customHeight="1" x14ac:dyDescent="0.3">
      <c r="A526" s="49" t="str">
        <f t="shared" si="88"/>
        <v xml:space="preserve"> </v>
      </c>
      <c r="B526" s="50">
        <f>+IFERROR(COUNTIF($J$3:J526,J526)," ")</f>
        <v>0</v>
      </c>
      <c r="C526" s="54" t="str">
        <f>+'Score BD'!$J526&amp;'Score BD'!$B526</f>
        <v>0</v>
      </c>
      <c r="D526" s="91"/>
      <c r="E526" s="92"/>
      <c r="F526" s="92"/>
      <c r="G526" s="60" t="str">
        <f t="shared" si="89"/>
        <v>Enero</v>
      </c>
      <c r="H526" s="67"/>
      <c r="I526" s="156"/>
      <c r="J526" s="58"/>
      <c r="K526" s="54" t="str">
        <f>IFERROR(VLOOKUP('Score BD'!$J526,Lista!A:B,2,0)," ")</f>
        <v xml:space="preserve"> </v>
      </c>
      <c r="L526" s="61"/>
      <c r="M526" s="43"/>
      <c r="N526" s="43"/>
      <c r="O526" s="43"/>
      <c r="P526" s="43"/>
      <c r="Q526" s="96">
        <f t="shared" si="90"/>
        <v>1</v>
      </c>
      <c r="R526" s="43"/>
      <c r="S526" s="43"/>
      <c r="T526" s="43"/>
      <c r="U526" s="43"/>
      <c r="V526" s="45">
        <f t="shared" si="91"/>
        <v>1</v>
      </c>
      <c r="W526" s="43"/>
      <c r="X526" s="43"/>
      <c r="Y526" s="43"/>
      <c r="Z526" s="43"/>
      <c r="AA526" s="43"/>
      <c r="AB526" s="43"/>
      <c r="AC526" s="45">
        <f t="shared" si="92"/>
        <v>1.000000000000002</v>
      </c>
      <c r="AD526" s="43"/>
      <c r="AE526" s="43"/>
      <c r="AF526" s="97">
        <f t="shared" si="93"/>
        <v>1</v>
      </c>
      <c r="AG526" s="44">
        <f t="shared" si="94"/>
        <v>1.0000000000000004</v>
      </c>
      <c r="AH526" s="55">
        <f t="shared" si="95"/>
        <v>0</v>
      </c>
      <c r="AI526" s="55">
        <f>COUNTIF('Score BD'!$M526:$P526,"no")</f>
        <v>0</v>
      </c>
      <c r="AJ526" s="55" t="str">
        <f t="shared" si="96"/>
        <v>-</v>
      </c>
      <c r="AK526" s="55" t="str">
        <f t="shared" si="97"/>
        <v>-</v>
      </c>
      <c r="AL526" s="55" t="str">
        <f t="shared" si="98"/>
        <v>-</v>
      </c>
      <c r="AM526" s="56"/>
      <c r="AN526" s="55"/>
      <c r="AO526" s="61"/>
      <c r="AP526" s="61"/>
      <c r="AQ526" s="59" t="str">
        <f>IFERROR(_xlfn.XLOOKUP(Tabla1[[#This Row],[Cedula agente]],Lista!$B$2:$B$97,Lista!$G$2:$G$97)," ")</f>
        <v xml:space="preserve"> </v>
      </c>
      <c r="AR526" s="59"/>
      <c r="AS526" s="55" t="str">
        <f>IFERROR(_xlfn.XLOOKUP(Tabla1[[#This Row],[Cedula agente]],Lista!$B$2:$B$97,Lista!$F$2:$F$97)," ")</f>
        <v xml:space="preserve"> </v>
      </c>
      <c r="AT526" s="99">
        <v>0.95</v>
      </c>
      <c r="AU526" s="200">
        <f>+WEEKNUM('Score BD'!$H526)-WEEKNUM(DATE(YEAR('Score BD'!$H526),MONTH('Score BD'!$H526),1))+1</f>
        <v>0</v>
      </c>
    </row>
    <row r="527" spans="1:47" ht="17.45" customHeight="1" x14ac:dyDescent="0.3">
      <c r="A527" s="49" t="str">
        <f t="shared" si="88"/>
        <v xml:space="preserve"> </v>
      </c>
      <c r="B527" s="50">
        <f>+IFERROR(COUNTIF($J$3:J527,J527)," ")</f>
        <v>0</v>
      </c>
      <c r="C527" s="54" t="str">
        <f>+'Score BD'!$J527&amp;'Score BD'!$B527</f>
        <v>0</v>
      </c>
      <c r="D527" s="91"/>
      <c r="E527" s="92"/>
      <c r="F527" s="92"/>
      <c r="G527" s="60" t="str">
        <f t="shared" si="89"/>
        <v>Enero</v>
      </c>
      <c r="H527" s="67"/>
      <c r="I527" s="156"/>
      <c r="J527" s="58"/>
      <c r="K527" s="54" t="str">
        <f>IFERROR(VLOOKUP('Score BD'!$J527,Lista!A:B,2,0)," ")</f>
        <v xml:space="preserve"> </v>
      </c>
      <c r="L527" s="61"/>
      <c r="M527" s="43"/>
      <c r="N527" s="43"/>
      <c r="O527" s="43"/>
      <c r="P527" s="43"/>
      <c r="Q527" s="96">
        <f t="shared" si="90"/>
        <v>1</v>
      </c>
      <c r="R527" s="43"/>
      <c r="S527" s="43"/>
      <c r="T527" s="43"/>
      <c r="U527" s="43"/>
      <c r="V527" s="45">
        <f t="shared" si="91"/>
        <v>1</v>
      </c>
      <c r="W527" s="43"/>
      <c r="X527" s="43"/>
      <c r="Y527" s="43"/>
      <c r="Z527" s="43"/>
      <c r="AA527" s="43"/>
      <c r="AB527" s="43"/>
      <c r="AC527" s="45">
        <f t="shared" si="92"/>
        <v>1.000000000000002</v>
      </c>
      <c r="AD527" s="43"/>
      <c r="AE527" s="43"/>
      <c r="AF527" s="97">
        <f t="shared" si="93"/>
        <v>1</v>
      </c>
      <c r="AG527" s="44">
        <f t="shared" si="94"/>
        <v>1.0000000000000004</v>
      </c>
      <c r="AH527" s="55">
        <f t="shared" si="95"/>
        <v>0</v>
      </c>
      <c r="AI527" s="55">
        <f>COUNTIF('Score BD'!$M527:$P527,"no")</f>
        <v>0</v>
      </c>
      <c r="AJ527" s="55" t="str">
        <f t="shared" si="96"/>
        <v>-</v>
      </c>
      <c r="AK527" s="55" t="str">
        <f t="shared" si="97"/>
        <v>-</v>
      </c>
      <c r="AL527" s="55" t="str">
        <f t="shared" si="98"/>
        <v>-</v>
      </c>
      <c r="AM527" s="56"/>
      <c r="AN527" s="55"/>
      <c r="AO527" s="61"/>
      <c r="AP527" s="61"/>
      <c r="AQ527" s="59" t="str">
        <f>IFERROR(_xlfn.XLOOKUP(Tabla1[[#This Row],[Cedula agente]],Lista!$B$2:$B$97,Lista!$G$2:$G$97)," ")</f>
        <v xml:space="preserve"> </v>
      </c>
      <c r="AR527" s="59"/>
      <c r="AS527" s="55" t="str">
        <f>IFERROR(_xlfn.XLOOKUP(Tabla1[[#This Row],[Cedula agente]],Lista!$B$2:$B$97,Lista!$F$2:$F$97)," ")</f>
        <v xml:space="preserve"> </v>
      </c>
      <c r="AT527" s="99">
        <v>0.95</v>
      </c>
      <c r="AU527" s="200">
        <f>+WEEKNUM('Score BD'!$H527)-WEEKNUM(DATE(YEAR('Score BD'!$H527),MONTH('Score BD'!$H527),1))+1</f>
        <v>0</v>
      </c>
    </row>
    <row r="528" spans="1:47" ht="17.45" customHeight="1" x14ac:dyDescent="0.3">
      <c r="A528" s="49" t="str">
        <f t="shared" si="88"/>
        <v xml:space="preserve"> </v>
      </c>
      <c r="B528" s="50">
        <f>+IFERROR(COUNTIF($J$3:J528,J528)," ")</f>
        <v>0</v>
      </c>
      <c r="C528" s="54" t="str">
        <f>+'Score BD'!$J528&amp;'Score BD'!$B528</f>
        <v>0</v>
      </c>
      <c r="D528" s="91"/>
      <c r="E528" s="92"/>
      <c r="F528" s="92"/>
      <c r="G528" s="60" t="str">
        <f t="shared" si="89"/>
        <v>Enero</v>
      </c>
      <c r="H528" s="67"/>
      <c r="I528" s="156"/>
      <c r="J528" s="58"/>
      <c r="K528" s="54" t="str">
        <f>IFERROR(VLOOKUP('Score BD'!$J528,Lista!A:B,2,0)," ")</f>
        <v xml:space="preserve"> </v>
      </c>
      <c r="L528" s="61"/>
      <c r="M528" s="43"/>
      <c r="N528" s="43"/>
      <c r="O528" s="43"/>
      <c r="P528" s="43"/>
      <c r="Q528" s="96">
        <f t="shared" si="90"/>
        <v>1</v>
      </c>
      <c r="R528" s="43"/>
      <c r="S528" s="43"/>
      <c r="T528" s="43"/>
      <c r="U528" s="43"/>
      <c r="V528" s="45">
        <f t="shared" si="91"/>
        <v>1</v>
      </c>
      <c r="W528" s="43"/>
      <c r="X528" s="43"/>
      <c r="Y528" s="43"/>
      <c r="Z528" s="43"/>
      <c r="AA528" s="43"/>
      <c r="AB528" s="43"/>
      <c r="AC528" s="45">
        <f t="shared" si="92"/>
        <v>1.000000000000002</v>
      </c>
      <c r="AD528" s="43"/>
      <c r="AE528" s="43"/>
      <c r="AF528" s="97">
        <f t="shared" si="93"/>
        <v>1</v>
      </c>
      <c r="AG528" s="44">
        <f t="shared" si="94"/>
        <v>1.0000000000000004</v>
      </c>
      <c r="AH528" s="55">
        <f t="shared" si="95"/>
        <v>0</v>
      </c>
      <c r="AI528" s="55">
        <f>COUNTIF('Score BD'!$M528:$P528,"no")</f>
        <v>0</v>
      </c>
      <c r="AJ528" s="55" t="str">
        <f t="shared" si="96"/>
        <v>-</v>
      </c>
      <c r="AK528" s="55" t="str">
        <f t="shared" si="97"/>
        <v>-</v>
      </c>
      <c r="AL528" s="55" t="str">
        <f t="shared" si="98"/>
        <v>-</v>
      </c>
      <c r="AM528" s="56"/>
      <c r="AN528" s="55"/>
      <c r="AO528" s="61"/>
      <c r="AP528" s="61"/>
      <c r="AQ528" s="59" t="str">
        <f>IFERROR(_xlfn.XLOOKUP(Tabla1[[#This Row],[Cedula agente]],Lista!$B$2:$B$97,Lista!$G$2:$G$97)," ")</f>
        <v xml:space="preserve"> </v>
      </c>
      <c r="AR528" s="59"/>
      <c r="AS528" s="55" t="str">
        <f>IFERROR(_xlfn.XLOOKUP(Tabla1[[#This Row],[Cedula agente]],Lista!$B$2:$B$97,Lista!$F$2:$F$97)," ")</f>
        <v xml:space="preserve"> </v>
      </c>
      <c r="AT528" s="99">
        <v>0.95</v>
      </c>
      <c r="AU528" s="200">
        <f>+WEEKNUM('Score BD'!$H528)-WEEKNUM(DATE(YEAR('Score BD'!$H528),MONTH('Score BD'!$H528),1))+1</f>
        <v>0</v>
      </c>
    </row>
    <row r="529" spans="1:47" ht="17.45" customHeight="1" x14ac:dyDescent="0.3">
      <c r="A529" s="49" t="str">
        <f t="shared" si="88"/>
        <v xml:space="preserve"> </v>
      </c>
      <c r="B529" s="50">
        <f>+IFERROR(COUNTIF($J$3:J529,J529)," ")</f>
        <v>0</v>
      </c>
      <c r="C529" s="54" t="str">
        <f>+'Score BD'!$J529&amp;'Score BD'!$B529</f>
        <v>0</v>
      </c>
      <c r="D529" s="91"/>
      <c r="E529" s="92"/>
      <c r="F529" s="92"/>
      <c r="G529" s="60" t="str">
        <f t="shared" si="89"/>
        <v>Enero</v>
      </c>
      <c r="H529" s="67"/>
      <c r="I529" s="156"/>
      <c r="J529" s="58"/>
      <c r="K529" s="54" t="str">
        <f>IFERROR(VLOOKUP('Score BD'!$J529,Lista!A:B,2,0)," ")</f>
        <v xml:space="preserve"> </v>
      </c>
      <c r="L529" s="61"/>
      <c r="M529" s="43"/>
      <c r="N529" s="43"/>
      <c r="O529" s="43"/>
      <c r="P529" s="43"/>
      <c r="Q529" s="96">
        <f t="shared" si="90"/>
        <v>1</v>
      </c>
      <c r="R529" s="43"/>
      <c r="S529" s="43"/>
      <c r="T529" s="43"/>
      <c r="U529" s="43"/>
      <c r="V529" s="45">
        <f t="shared" si="91"/>
        <v>1</v>
      </c>
      <c r="W529" s="43"/>
      <c r="X529" s="43"/>
      <c r="Y529" s="43"/>
      <c r="Z529" s="43"/>
      <c r="AA529" s="43"/>
      <c r="AB529" s="43"/>
      <c r="AC529" s="45">
        <f t="shared" si="92"/>
        <v>1.000000000000002</v>
      </c>
      <c r="AD529" s="43"/>
      <c r="AE529" s="43"/>
      <c r="AF529" s="97">
        <f t="shared" si="93"/>
        <v>1</v>
      </c>
      <c r="AG529" s="44">
        <f t="shared" si="94"/>
        <v>1.0000000000000004</v>
      </c>
      <c r="AH529" s="55">
        <f t="shared" si="95"/>
        <v>0</v>
      </c>
      <c r="AI529" s="55">
        <f>COUNTIF('Score BD'!$M529:$P529,"no")</f>
        <v>0</v>
      </c>
      <c r="AJ529" s="55" t="str">
        <f t="shared" si="96"/>
        <v>-</v>
      </c>
      <c r="AK529" s="55" t="str">
        <f t="shared" si="97"/>
        <v>-</v>
      </c>
      <c r="AL529" s="55" t="str">
        <f t="shared" si="98"/>
        <v>-</v>
      </c>
      <c r="AM529" s="56"/>
      <c r="AN529" s="55"/>
      <c r="AO529" s="61"/>
      <c r="AP529" s="61"/>
      <c r="AQ529" s="59" t="str">
        <f>IFERROR(_xlfn.XLOOKUP(Tabla1[[#This Row],[Cedula agente]],Lista!$B$2:$B$97,Lista!$G$2:$G$97)," ")</f>
        <v xml:space="preserve"> </v>
      </c>
      <c r="AR529" s="59"/>
      <c r="AS529" s="55" t="str">
        <f>IFERROR(_xlfn.XLOOKUP(Tabla1[[#This Row],[Cedula agente]],Lista!$B$2:$B$97,Lista!$F$2:$F$97)," ")</f>
        <v xml:space="preserve"> </v>
      </c>
      <c r="AT529" s="99">
        <v>0.95</v>
      </c>
      <c r="AU529" s="200">
        <f>+WEEKNUM('Score BD'!$H529)-WEEKNUM(DATE(YEAR('Score BD'!$H529),MONTH('Score BD'!$H529),1))+1</f>
        <v>0</v>
      </c>
    </row>
    <row r="530" spans="1:47" ht="17.45" customHeight="1" x14ac:dyDescent="0.3">
      <c r="A530" s="49" t="str">
        <f t="shared" si="88"/>
        <v xml:space="preserve"> </v>
      </c>
      <c r="B530" s="50">
        <f>+IFERROR(COUNTIF($J$3:J530,J530)," ")</f>
        <v>0</v>
      </c>
      <c r="C530" s="54" t="str">
        <f>+'Score BD'!$J530&amp;'Score BD'!$B530</f>
        <v>0</v>
      </c>
      <c r="D530" s="91"/>
      <c r="E530" s="92"/>
      <c r="F530" s="92"/>
      <c r="G530" s="60" t="str">
        <f t="shared" si="89"/>
        <v>Enero</v>
      </c>
      <c r="H530" s="67"/>
      <c r="I530" s="156"/>
      <c r="J530" s="58"/>
      <c r="K530" s="54" t="str">
        <f>IFERROR(VLOOKUP('Score BD'!$J530,Lista!A:B,2,0)," ")</f>
        <v xml:space="preserve"> </v>
      </c>
      <c r="L530" s="61"/>
      <c r="M530" s="43"/>
      <c r="N530" s="43"/>
      <c r="O530" s="43"/>
      <c r="P530" s="43"/>
      <c r="Q530" s="96">
        <f t="shared" si="90"/>
        <v>1</v>
      </c>
      <c r="R530" s="43"/>
      <c r="S530" s="43"/>
      <c r="T530" s="43"/>
      <c r="U530" s="43"/>
      <c r="V530" s="45">
        <f t="shared" si="91"/>
        <v>1</v>
      </c>
      <c r="W530" s="43"/>
      <c r="X530" s="43"/>
      <c r="Y530" s="43"/>
      <c r="Z530" s="43"/>
      <c r="AA530" s="43"/>
      <c r="AB530" s="43"/>
      <c r="AC530" s="45">
        <f t="shared" si="92"/>
        <v>1.000000000000002</v>
      </c>
      <c r="AD530" s="43"/>
      <c r="AE530" s="43"/>
      <c r="AF530" s="97">
        <f t="shared" si="93"/>
        <v>1</v>
      </c>
      <c r="AG530" s="44">
        <f t="shared" si="94"/>
        <v>1.0000000000000004</v>
      </c>
      <c r="AH530" s="55">
        <f t="shared" si="95"/>
        <v>0</v>
      </c>
      <c r="AI530" s="55">
        <f>COUNTIF('Score BD'!$M530:$P530,"no")</f>
        <v>0</v>
      </c>
      <c r="AJ530" s="55" t="str">
        <f t="shared" si="96"/>
        <v>-</v>
      </c>
      <c r="AK530" s="55" t="str">
        <f t="shared" si="97"/>
        <v>-</v>
      </c>
      <c r="AL530" s="55" t="str">
        <f t="shared" si="98"/>
        <v>-</v>
      </c>
      <c r="AM530" s="56"/>
      <c r="AN530" s="55"/>
      <c r="AO530" s="61"/>
      <c r="AP530" s="61"/>
      <c r="AQ530" s="59" t="str">
        <f>IFERROR(_xlfn.XLOOKUP(Tabla1[[#This Row],[Cedula agente]],Lista!$B$2:$B$97,Lista!$G$2:$G$97)," ")</f>
        <v xml:space="preserve"> </v>
      </c>
      <c r="AR530" s="59"/>
      <c r="AS530" s="55" t="str">
        <f>IFERROR(_xlfn.XLOOKUP(Tabla1[[#This Row],[Cedula agente]],Lista!$B$2:$B$97,Lista!$F$2:$F$97)," ")</f>
        <v xml:space="preserve"> </v>
      </c>
      <c r="AT530" s="99">
        <v>0.95</v>
      </c>
      <c r="AU530" s="200">
        <f>+WEEKNUM('Score BD'!$H530)-WEEKNUM(DATE(YEAR('Score BD'!$H530),MONTH('Score BD'!$H530),1))+1</f>
        <v>0</v>
      </c>
    </row>
    <row r="531" spans="1:47" ht="17.45" customHeight="1" x14ac:dyDescent="0.3">
      <c r="A531" s="49" t="str">
        <f t="shared" si="88"/>
        <v xml:space="preserve"> </v>
      </c>
      <c r="B531" s="50">
        <f>+IFERROR(COUNTIF($J$3:J531,J531)," ")</f>
        <v>0</v>
      </c>
      <c r="C531" s="54" t="str">
        <f>+'Score BD'!$J531&amp;'Score BD'!$B531</f>
        <v>0</v>
      </c>
      <c r="D531" s="91"/>
      <c r="E531" s="92"/>
      <c r="F531" s="92"/>
      <c r="G531" s="60" t="str">
        <f t="shared" si="89"/>
        <v>Enero</v>
      </c>
      <c r="H531" s="67"/>
      <c r="I531" s="156"/>
      <c r="J531" s="58"/>
      <c r="K531" s="54" t="str">
        <f>IFERROR(VLOOKUP('Score BD'!$J531,Lista!A:B,2,0)," ")</f>
        <v xml:space="preserve"> </v>
      </c>
      <c r="L531" s="61"/>
      <c r="M531" s="43"/>
      <c r="N531" s="43"/>
      <c r="O531" s="43"/>
      <c r="P531" s="43"/>
      <c r="Q531" s="96">
        <f t="shared" si="90"/>
        <v>1</v>
      </c>
      <c r="R531" s="43"/>
      <c r="S531" s="43"/>
      <c r="T531" s="43"/>
      <c r="U531" s="43"/>
      <c r="V531" s="45">
        <f t="shared" si="91"/>
        <v>1</v>
      </c>
      <c r="W531" s="43"/>
      <c r="X531" s="43"/>
      <c r="Y531" s="43"/>
      <c r="Z531" s="43"/>
      <c r="AA531" s="43"/>
      <c r="AB531" s="43"/>
      <c r="AC531" s="45">
        <f t="shared" si="92"/>
        <v>1.000000000000002</v>
      </c>
      <c r="AD531" s="43"/>
      <c r="AE531" s="43"/>
      <c r="AF531" s="97">
        <f t="shared" si="93"/>
        <v>1</v>
      </c>
      <c r="AG531" s="44">
        <f t="shared" si="94"/>
        <v>1.0000000000000004</v>
      </c>
      <c r="AH531" s="55">
        <f t="shared" si="95"/>
        <v>0</v>
      </c>
      <c r="AI531" s="55">
        <f>COUNTIF('Score BD'!$M531:$P531,"no")</f>
        <v>0</v>
      </c>
      <c r="AJ531" s="55" t="str">
        <f t="shared" si="96"/>
        <v>-</v>
      </c>
      <c r="AK531" s="55" t="str">
        <f t="shared" si="97"/>
        <v>-</v>
      </c>
      <c r="AL531" s="55" t="str">
        <f t="shared" si="98"/>
        <v>-</v>
      </c>
      <c r="AM531" s="56"/>
      <c r="AN531" s="55"/>
      <c r="AO531" s="61"/>
      <c r="AP531" s="61"/>
      <c r="AQ531" s="59" t="str">
        <f>IFERROR(_xlfn.XLOOKUP(Tabla1[[#This Row],[Cedula agente]],Lista!$B$2:$B$97,Lista!$G$2:$G$97)," ")</f>
        <v xml:space="preserve"> </v>
      </c>
      <c r="AR531" s="59"/>
      <c r="AS531" s="55" t="str">
        <f>IFERROR(_xlfn.XLOOKUP(Tabla1[[#This Row],[Cedula agente]],Lista!$B$2:$B$97,Lista!$F$2:$F$97)," ")</f>
        <v xml:space="preserve"> </v>
      </c>
      <c r="AT531" s="99">
        <v>0.95</v>
      </c>
      <c r="AU531" s="200">
        <f>+WEEKNUM('Score BD'!$H531)-WEEKNUM(DATE(YEAR('Score BD'!$H531),MONTH('Score BD'!$H531),1))+1</f>
        <v>0</v>
      </c>
    </row>
    <row r="532" spans="1:47" ht="17.45" customHeight="1" x14ac:dyDescent="0.3">
      <c r="A532" s="49" t="str">
        <f t="shared" si="88"/>
        <v xml:space="preserve"> </v>
      </c>
      <c r="B532" s="50">
        <f>+IFERROR(COUNTIF($J$3:J532,J532)," ")</f>
        <v>0</v>
      </c>
      <c r="C532" s="54" t="str">
        <f>+'Score BD'!$J532&amp;'Score BD'!$B532</f>
        <v>0</v>
      </c>
      <c r="D532" s="91"/>
      <c r="E532" s="92"/>
      <c r="F532" s="92"/>
      <c r="G532" s="60" t="str">
        <f t="shared" si="89"/>
        <v>Enero</v>
      </c>
      <c r="H532" s="67"/>
      <c r="I532" s="156"/>
      <c r="J532" s="58"/>
      <c r="K532" s="54" t="str">
        <f>IFERROR(VLOOKUP('Score BD'!$J532,Lista!A:B,2,0)," ")</f>
        <v xml:space="preserve"> </v>
      </c>
      <c r="L532" s="61"/>
      <c r="M532" s="43"/>
      <c r="N532" s="43"/>
      <c r="O532" s="43"/>
      <c r="P532" s="43"/>
      <c r="Q532" s="96">
        <f t="shared" si="90"/>
        <v>1</v>
      </c>
      <c r="R532" s="43"/>
      <c r="S532" s="43"/>
      <c r="T532" s="43"/>
      <c r="U532" s="43"/>
      <c r="V532" s="45">
        <f t="shared" si="91"/>
        <v>1</v>
      </c>
      <c r="W532" s="43"/>
      <c r="X532" s="43"/>
      <c r="Y532" s="43"/>
      <c r="Z532" s="43"/>
      <c r="AA532" s="43"/>
      <c r="AB532" s="43"/>
      <c r="AC532" s="45">
        <f t="shared" si="92"/>
        <v>1.000000000000002</v>
      </c>
      <c r="AD532" s="43"/>
      <c r="AE532" s="43"/>
      <c r="AF532" s="97">
        <f t="shared" si="93"/>
        <v>1</v>
      </c>
      <c r="AG532" s="44">
        <f t="shared" si="94"/>
        <v>1.0000000000000004</v>
      </c>
      <c r="AH532" s="55">
        <f t="shared" si="95"/>
        <v>0</v>
      </c>
      <c r="AI532" s="55">
        <f>COUNTIF('Score BD'!$M532:$P532,"no")</f>
        <v>0</v>
      </c>
      <c r="AJ532" s="55" t="str">
        <f t="shared" si="96"/>
        <v>-</v>
      </c>
      <c r="AK532" s="55" t="str">
        <f t="shared" si="97"/>
        <v>-</v>
      </c>
      <c r="AL532" s="55" t="str">
        <f t="shared" si="98"/>
        <v>-</v>
      </c>
      <c r="AM532" s="56"/>
      <c r="AN532" s="55"/>
      <c r="AO532" s="61"/>
      <c r="AP532" s="61"/>
      <c r="AQ532" s="59" t="str">
        <f>IFERROR(_xlfn.XLOOKUP(Tabla1[[#This Row],[Cedula agente]],Lista!$B$2:$B$97,Lista!$G$2:$G$97)," ")</f>
        <v xml:space="preserve"> </v>
      </c>
      <c r="AR532" s="59"/>
      <c r="AS532" s="55" t="str">
        <f>IFERROR(_xlfn.XLOOKUP(Tabla1[[#This Row],[Cedula agente]],Lista!$B$2:$B$97,Lista!$F$2:$F$97)," ")</f>
        <v xml:space="preserve"> </v>
      </c>
      <c r="AT532" s="99">
        <v>0.95</v>
      </c>
      <c r="AU532" s="200">
        <f>+WEEKNUM('Score BD'!$H532)-WEEKNUM(DATE(YEAR('Score BD'!$H532),MONTH('Score BD'!$H532),1))+1</f>
        <v>0</v>
      </c>
    </row>
    <row r="533" spans="1:47" ht="17.45" customHeight="1" x14ac:dyDescent="0.3">
      <c r="A533" s="49" t="str">
        <f t="shared" si="88"/>
        <v xml:space="preserve"> </v>
      </c>
      <c r="B533" s="50">
        <f>+IFERROR(COUNTIF($J$3:J533,J533)," ")</f>
        <v>0</v>
      </c>
      <c r="C533" s="54" t="str">
        <f>+'Score BD'!$J533&amp;'Score BD'!$B533</f>
        <v>0</v>
      </c>
      <c r="D533" s="91"/>
      <c r="E533" s="92"/>
      <c r="F533" s="92"/>
      <c r="G533" s="60" t="str">
        <f t="shared" si="89"/>
        <v>Enero</v>
      </c>
      <c r="H533" s="67"/>
      <c r="I533" s="156"/>
      <c r="J533" s="58"/>
      <c r="K533" s="54" t="str">
        <f>IFERROR(VLOOKUP('Score BD'!$J533,Lista!A:B,2,0)," ")</f>
        <v xml:space="preserve"> </v>
      </c>
      <c r="L533" s="61"/>
      <c r="M533" s="43"/>
      <c r="N533" s="43"/>
      <c r="O533" s="43"/>
      <c r="P533" s="43"/>
      <c r="Q533" s="96">
        <f t="shared" si="90"/>
        <v>1</v>
      </c>
      <c r="R533" s="43"/>
      <c r="S533" s="43"/>
      <c r="T533" s="43"/>
      <c r="U533" s="43"/>
      <c r="V533" s="45">
        <f t="shared" si="91"/>
        <v>1</v>
      </c>
      <c r="W533" s="43"/>
      <c r="X533" s="43"/>
      <c r="Y533" s="43"/>
      <c r="Z533" s="43"/>
      <c r="AA533" s="43"/>
      <c r="AB533" s="43"/>
      <c r="AC533" s="45">
        <f t="shared" si="92"/>
        <v>1.000000000000002</v>
      </c>
      <c r="AD533" s="43"/>
      <c r="AE533" s="43"/>
      <c r="AF533" s="97">
        <f t="shared" si="93"/>
        <v>1</v>
      </c>
      <c r="AG533" s="44">
        <f t="shared" si="94"/>
        <v>1.0000000000000004</v>
      </c>
      <c r="AH533" s="55">
        <f t="shared" si="95"/>
        <v>0</v>
      </c>
      <c r="AI533" s="55">
        <f>COUNTIF('Score BD'!$M533:$P533,"no")</f>
        <v>0</v>
      </c>
      <c r="AJ533" s="55" t="str">
        <f t="shared" si="96"/>
        <v>-</v>
      </c>
      <c r="AK533" s="55" t="str">
        <f t="shared" si="97"/>
        <v>-</v>
      </c>
      <c r="AL533" s="55" t="str">
        <f t="shared" si="98"/>
        <v>-</v>
      </c>
      <c r="AM533" s="56"/>
      <c r="AN533" s="55"/>
      <c r="AO533" s="61"/>
      <c r="AP533" s="61"/>
      <c r="AQ533" s="59" t="str">
        <f>IFERROR(_xlfn.XLOOKUP(Tabla1[[#This Row],[Cedula agente]],Lista!$B$2:$B$97,Lista!$G$2:$G$97)," ")</f>
        <v xml:space="preserve"> </v>
      </c>
      <c r="AR533" s="59"/>
      <c r="AS533" s="55" t="str">
        <f>IFERROR(_xlfn.XLOOKUP(Tabla1[[#This Row],[Cedula agente]],Lista!$B$2:$B$97,Lista!$F$2:$F$97)," ")</f>
        <v xml:space="preserve"> </v>
      </c>
      <c r="AT533" s="99">
        <v>0.95</v>
      </c>
      <c r="AU533" s="200">
        <f>+WEEKNUM('Score BD'!$H533)-WEEKNUM(DATE(YEAR('Score BD'!$H533),MONTH('Score BD'!$H533),1))+1</f>
        <v>0</v>
      </c>
    </row>
    <row r="534" spans="1:47" ht="17.45" customHeight="1" x14ac:dyDescent="0.3">
      <c r="A534" s="49" t="str">
        <f t="shared" si="88"/>
        <v xml:space="preserve"> </v>
      </c>
      <c r="B534" s="50">
        <f>+IFERROR(COUNTIF($J$3:J534,J534)," ")</f>
        <v>0</v>
      </c>
      <c r="C534" s="54" t="str">
        <f>+'Score BD'!$J534&amp;'Score BD'!$B534</f>
        <v>0</v>
      </c>
      <c r="D534" s="91"/>
      <c r="E534" s="92"/>
      <c r="F534" s="92"/>
      <c r="G534" s="60" t="str">
        <f t="shared" si="89"/>
        <v>Enero</v>
      </c>
      <c r="H534" s="67"/>
      <c r="I534" s="156"/>
      <c r="J534" s="58"/>
      <c r="K534" s="54" t="str">
        <f>IFERROR(VLOOKUP('Score BD'!$J534,Lista!A:B,2,0)," ")</f>
        <v xml:space="preserve"> </v>
      </c>
      <c r="L534" s="61"/>
      <c r="M534" s="43"/>
      <c r="N534" s="43"/>
      <c r="O534" s="43"/>
      <c r="P534" s="43"/>
      <c r="Q534" s="96">
        <f t="shared" si="90"/>
        <v>1</v>
      </c>
      <c r="R534" s="43"/>
      <c r="S534" s="43"/>
      <c r="T534" s="43"/>
      <c r="U534" s="43"/>
      <c r="V534" s="45">
        <f t="shared" si="91"/>
        <v>1</v>
      </c>
      <c r="W534" s="43"/>
      <c r="X534" s="43"/>
      <c r="Y534" s="43"/>
      <c r="Z534" s="43"/>
      <c r="AA534" s="43"/>
      <c r="AB534" s="43"/>
      <c r="AC534" s="45">
        <f t="shared" si="92"/>
        <v>1.000000000000002</v>
      </c>
      <c r="AD534" s="43"/>
      <c r="AE534" s="43"/>
      <c r="AF534" s="97">
        <f t="shared" si="93"/>
        <v>1</v>
      </c>
      <c r="AG534" s="44">
        <f t="shared" si="94"/>
        <v>1.0000000000000004</v>
      </c>
      <c r="AH534" s="55">
        <f t="shared" si="95"/>
        <v>0</v>
      </c>
      <c r="AI534" s="55">
        <f>COUNTIF('Score BD'!$M534:$P534,"no")</f>
        <v>0</v>
      </c>
      <c r="AJ534" s="55" t="str">
        <f t="shared" si="96"/>
        <v>-</v>
      </c>
      <c r="AK534" s="55" t="str">
        <f t="shared" si="97"/>
        <v>-</v>
      </c>
      <c r="AL534" s="55" t="str">
        <f t="shared" si="98"/>
        <v>-</v>
      </c>
      <c r="AM534" s="56"/>
      <c r="AN534" s="55"/>
      <c r="AO534" s="61"/>
      <c r="AP534" s="61"/>
      <c r="AQ534" s="59" t="str">
        <f>IFERROR(_xlfn.XLOOKUP(Tabla1[[#This Row],[Cedula agente]],Lista!$B$2:$B$97,Lista!$G$2:$G$97)," ")</f>
        <v xml:space="preserve"> </v>
      </c>
      <c r="AR534" s="59"/>
      <c r="AS534" s="55" t="str">
        <f>IFERROR(_xlfn.XLOOKUP(Tabla1[[#This Row],[Cedula agente]],Lista!$B$2:$B$97,Lista!$F$2:$F$97)," ")</f>
        <v xml:space="preserve"> </v>
      </c>
      <c r="AT534" s="99">
        <v>0.95</v>
      </c>
      <c r="AU534" s="200">
        <f>+WEEKNUM('Score BD'!$H534)-WEEKNUM(DATE(YEAR('Score BD'!$H534),MONTH('Score BD'!$H534),1))+1</f>
        <v>0</v>
      </c>
    </row>
    <row r="535" spans="1:47" ht="17.45" customHeight="1" x14ac:dyDescent="0.3">
      <c r="A535" s="49" t="str">
        <f t="shared" si="88"/>
        <v xml:space="preserve"> </v>
      </c>
      <c r="B535" s="50">
        <f>+IFERROR(COUNTIF($J$3:J535,J535)," ")</f>
        <v>0</v>
      </c>
      <c r="C535" s="54" t="str">
        <f>+'Score BD'!$J535&amp;'Score BD'!$B535</f>
        <v>0</v>
      </c>
      <c r="D535" s="91"/>
      <c r="E535" s="92"/>
      <c r="F535" s="92"/>
      <c r="G535" s="60" t="str">
        <f t="shared" si="89"/>
        <v>Enero</v>
      </c>
      <c r="H535" s="67"/>
      <c r="I535" s="156"/>
      <c r="J535" s="58"/>
      <c r="K535" s="54" t="str">
        <f>IFERROR(VLOOKUP('Score BD'!$J535,Lista!A:B,2,0)," ")</f>
        <v xml:space="preserve"> </v>
      </c>
      <c r="L535" s="61"/>
      <c r="M535" s="43"/>
      <c r="N535" s="43"/>
      <c r="O535" s="43"/>
      <c r="P535" s="43"/>
      <c r="Q535" s="96">
        <f t="shared" si="90"/>
        <v>1</v>
      </c>
      <c r="R535" s="43"/>
      <c r="S535" s="43"/>
      <c r="T535" s="43"/>
      <c r="U535" s="43"/>
      <c r="V535" s="45">
        <f t="shared" si="91"/>
        <v>1</v>
      </c>
      <c r="W535" s="43"/>
      <c r="X535" s="43"/>
      <c r="Y535" s="43"/>
      <c r="Z535" s="43"/>
      <c r="AA535" s="43"/>
      <c r="AB535" s="43"/>
      <c r="AC535" s="45">
        <f t="shared" si="92"/>
        <v>1.000000000000002</v>
      </c>
      <c r="AD535" s="43"/>
      <c r="AE535" s="43"/>
      <c r="AF535" s="97">
        <f t="shared" si="93"/>
        <v>1</v>
      </c>
      <c r="AG535" s="44">
        <f t="shared" si="94"/>
        <v>1.0000000000000004</v>
      </c>
      <c r="AH535" s="55">
        <f t="shared" si="95"/>
        <v>0</v>
      </c>
      <c r="AI535" s="55">
        <f>COUNTIF('Score BD'!$M535:$P535,"no")</f>
        <v>0</v>
      </c>
      <c r="AJ535" s="55" t="str">
        <f t="shared" si="96"/>
        <v>-</v>
      </c>
      <c r="AK535" s="55" t="str">
        <f t="shared" si="97"/>
        <v>-</v>
      </c>
      <c r="AL535" s="55" t="str">
        <f t="shared" si="98"/>
        <v>-</v>
      </c>
      <c r="AM535" s="56"/>
      <c r="AN535" s="55"/>
      <c r="AO535" s="61"/>
      <c r="AP535" s="61"/>
      <c r="AQ535" s="59" t="str">
        <f>IFERROR(_xlfn.XLOOKUP(Tabla1[[#This Row],[Cedula agente]],Lista!$B$2:$B$97,Lista!$G$2:$G$97)," ")</f>
        <v xml:space="preserve"> </v>
      </c>
      <c r="AR535" s="59"/>
      <c r="AS535" s="55" t="str">
        <f>IFERROR(_xlfn.XLOOKUP(Tabla1[[#This Row],[Cedula agente]],Lista!$B$2:$B$97,Lista!$F$2:$F$97)," ")</f>
        <v xml:space="preserve"> </v>
      </c>
      <c r="AT535" s="99">
        <v>0.95</v>
      </c>
      <c r="AU535" s="200">
        <f>+WEEKNUM('Score BD'!$H535)-WEEKNUM(DATE(YEAR('Score BD'!$H535),MONTH('Score BD'!$H535),1))+1</f>
        <v>0</v>
      </c>
    </row>
    <row r="536" spans="1:47" ht="17.45" customHeight="1" x14ac:dyDescent="0.3">
      <c r="A536" s="49" t="str">
        <f t="shared" si="88"/>
        <v xml:space="preserve"> </v>
      </c>
      <c r="B536" s="50">
        <f>+IFERROR(COUNTIF($J$3:J536,J536)," ")</f>
        <v>0</v>
      </c>
      <c r="C536" s="54" t="str">
        <f>+'Score BD'!$J536&amp;'Score BD'!$B536</f>
        <v>0</v>
      </c>
      <c r="D536" s="91"/>
      <c r="E536" s="92"/>
      <c r="F536" s="92"/>
      <c r="G536" s="60" t="str">
        <f t="shared" si="89"/>
        <v>Enero</v>
      </c>
      <c r="H536" s="67"/>
      <c r="I536" s="156"/>
      <c r="J536" s="58"/>
      <c r="K536" s="54" t="str">
        <f>IFERROR(VLOOKUP('Score BD'!$J536,Lista!A:B,2,0)," ")</f>
        <v xml:space="preserve"> </v>
      </c>
      <c r="L536" s="61"/>
      <c r="M536" s="43"/>
      <c r="N536" s="43"/>
      <c r="O536" s="43"/>
      <c r="P536" s="43"/>
      <c r="Q536" s="96">
        <f t="shared" si="90"/>
        <v>1</v>
      </c>
      <c r="R536" s="43"/>
      <c r="S536" s="43"/>
      <c r="T536" s="43"/>
      <c r="U536" s="43"/>
      <c r="V536" s="45">
        <f t="shared" si="91"/>
        <v>1</v>
      </c>
      <c r="W536" s="43"/>
      <c r="X536" s="43"/>
      <c r="Y536" s="43"/>
      <c r="Z536" s="43"/>
      <c r="AA536" s="43"/>
      <c r="AB536" s="43"/>
      <c r="AC536" s="45">
        <f t="shared" si="92"/>
        <v>1.000000000000002</v>
      </c>
      <c r="AD536" s="43"/>
      <c r="AE536" s="43"/>
      <c r="AF536" s="97">
        <f t="shared" si="93"/>
        <v>1</v>
      </c>
      <c r="AG536" s="44">
        <f t="shared" si="94"/>
        <v>1.0000000000000004</v>
      </c>
      <c r="AH536" s="55">
        <f t="shared" si="95"/>
        <v>0</v>
      </c>
      <c r="AI536" s="55">
        <f>COUNTIF('Score BD'!$M536:$P536,"no")</f>
        <v>0</v>
      </c>
      <c r="AJ536" s="55" t="str">
        <f t="shared" si="96"/>
        <v>-</v>
      </c>
      <c r="AK536" s="55" t="str">
        <f t="shared" si="97"/>
        <v>-</v>
      </c>
      <c r="AL536" s="55" t="str">
        <f t="shared" si="98"/>
        <v>-</v>
      </c>
      <c r="AM536" s="56"/>
      <c r="AN536" s="55"/>
      <c r="AO536" s="61"/>
      <c r="AP536" s="61"/>
      <c r="AQ536" s="59" t="str">
        <f>IFERROR(_xlfn.XLOOKUP(Tabla1[[#This Row],[Cedula agente]],Lista!$B$2:$B$97,Lista!$G$2:$G$97)," ")</f>
        <v xml:space="preserve"> </v>
      </c>
      <c r="AR536" s="59"/>
      <c r="AS536" s="55" t="str">
        <f>IFERROR(_xlfn.XLOOKUP(Tabla1[[#This Row],[Cedula agente]],Lista!$B$2:$B$97,Lista!$F$2:$F$97)," ")</f>
        <v xml:space="preserve"> </v>
      </c>
      <c r="AT536" s="99">
        <v>0.95</v>
      </c>
      <c r="AU536" s="200">
        <f>+WEEKNUM('Score BD'!$H536)-WEEKNUM(DATE(YEAR('Score BD'!$H536),MONTH('Score BD'!$H536),1))+1</f>
        <v>0</v>
      </c>
    </row>
    <row r="537" spans="1:47" ht="17.45" customHeight="1" x14ac:dyDescent="0.3">
      <c r="A537" s="49" t="str">
        <f t="shared" si="88"/>
        <v xml:space="preserve"> </v>
      </c>
      <c r="B537" s="50">
        <f>+IFERROR(COUNTIF($J$3:J537,J537)," ")</f>
        <v>0</v>
      </c>
      <c r="C537" s="54" t="str">
        <f>+'Score BD'!$J537&amp;'Score BD'!$B537</f>
        <v>0</v>
      </c>
      <c r="D537" s="91"/>
      <c r="E537" s="92"/>
      <c r="F537" s="92"/>
      <c r="G537" s="60" t="str">
        <f t="shared" si="89"/>
        <v>Enero</v>
      </c>
      <c r="H537" s="67"/>
      <c r="I537" s="156"/>
      <c r="J537" s="58"/>
      <c r="K537" s="54" t="str">
        <f>IFERROR(VLOOKUP('Score BD'!$J537,Lista!A:B,2,0)," ")</f>
        <v xml:space="preserve"> </v>
      </c>
      <c r="L537" s="61"/>
      <c r="M537" s="43"/>
      <c r="N537" s="43"/>
      <c r="O537" s="43"/>
      <c r="P537" s="43"/>
      <c r="Q537" s="96">
        <f t="shared" si="90"/>
        <v>1</v>
      </c>
      <c r="R537" s="43"/>
      <c r="S537" s="43"/>
      <c r="T537" s="43"/>
      <c r="U537" s="43"/>
      <c r="V537" s="45">
        <f t="shared" si="91"/>
        <v>1</v>
      </c>
      <c r="W537" s="43"/>
      <c r="X537" s="43"/>
      <c r="Y537" s="43"/>
      <c r="Z537" s="43"/>
      <c r="AA537" s="43"/>
      <c r="AB537" s="43"/>
      <c r="AC537" s="45">
        <f t="shared" si="92"/>
        <v>1.000000000000002</v>
      </c>
      <c r="AD537" s="43"/>
      <c r="AE537" s="43"/>
      <c r="AF537" s="97">
        <f t="shared" si="93"/>
        <v>1</v>
      </c>
      <c r="AG537" s="44">
        <f t="shared" si="94"/>
        <v>1.0000000000000004</v>
      </c>
      <c r="AH537" s="55">
        <f t="shared" si="95"/>
        <v>0</v>
      </c>
      <c r="AI537" s="55">
        <f>COUNTIF('Score BD'!$M537:$P537,"no")</f>
        <v>0</v>
      </c>
      <c r="AJ537" s="55" t="str">
        <f t="shared" si="96"/>
        <v>-</v>
      </c>
      <c r="AK537" s="55" t="str">
        <f t="shared" si="97"/>
        <v>-</v>
      </c>
      <c r="AL537" s="55" t="str">
        <f t="shared" si="98"/>
        <v>-</v>
      </c>
      <c r="AM537" s="56"/>
      <c r="AN537" s="55"/>
      <c r="AO537" s="61"/>
      <c r="AP537" s="61"/>
      <c r="AQ537" s="59" t="str">
        <f>IFERROR(_xlfn.XLOOKUP(Tabla1[[#This Row],[Cedula agente]],Lista!$B$2:$B$97,Lista!$G$2:$G$97)," ")</f>
        <v xml:space="preserve"> </v>
      </c>
      <c r="AR537" s="59"/>
      <c r="AS537" s="55" t="str">
        <f>IFERROR(_xlfn.XLOOKUP(Tabla1[[#This Row],[Cedula agente]],Lista!$B$2:$B$97,Lista!$F$2:$F$97)," ")</f>
        <v xml:space="preserve"> </v>
      </c>
      <c r="AT537" s="99">
        <v>0.95</v>
      </c>
      <c r="AU537" s="200">
        <f>+WEEKNUM('Score BD'!$H537)-WEEKNUM(DATE(YEAR('Score BD'!$H537),MONTH('Score BD'!$H537),1))+1</f>
        <v>0</v>
      </c>
    </row>
    <row r="538" spans="1:47" ht="17.45" customHeight="1" x14ac:dyDescent="0.3">
      <c r="A538" s="49" t="str">
        <f t="shared" si="88"/>
        <v xml:space="preserve"> </v>
      </c>
      <c r="B538" s="50">
        <f>+IFERROR(COUNTIF($J$3:J538,J538)," ")</f>
        <v>0</v>
      </c>
      <c r="C538" s="54" t="str">
        <f>+'Score BD'!$J538&amp;'Score BD'!$B538</f>
        <v>0</v>
      </c>
      <c r="D538" s="91"/>
      <c r="E538" s="92"/>
      <c r="F538" s="92"/>
      <c r="G538" s="60" t="str">
        <f t="shared" si="89"/>
        <v>Enero</v>
      </c>
      <c r="H538" s="67"/>
      <c r="I538" s="156"/>
      <c r="J538" s="58"/>
      <c r="K538" s="54" t="str">
        <f>IFERROR(VLOOKUP('Score BD'!$J538,Lista!A:B,2,0)," ")</f>
        <v xml:space="preserve"> </v>
      </c>
      <c r="L538" s="61"/>
      <c r="M538" s="43"/>
      <c r="N538" s="43"/>
      <c r="O538" s="43"/>
      <c r="P538" s="43"/>
      <c r="Q538" s="96">
        <f t="shared" si="90"/>
        <v>1</v>
      </c>
      <c r="R538" s="43"/>
      <c r="S538" s="43"/>
      <c r="T538" s="43"/>
      <c r="U538" s="43"/>
      <c r="V538" s="45">
        <f t="shared" si="91"/>
        <v>1</v>
      </c>
      <c r="W538" s="43"/>
      <c r="X538" s="43"/>
      <c r="Y538" s="43"/>
      <c r="Z538" s="43"/>
      <c r="AA538" s="43"/>
      <c r="AB538" s="43"/>
      <c r="AC538" s="45">
        <f t="shared" si="92"/>
        <v>1.000000000000002</v>
      </c>
      <c r="AD538" s="43"/>
      <c r="AE538" s="43"/>
      <c r="AF538" s="97">
        <f t="shared" si="93"/>
        <v>1</v>
      </c>
      <c r="AG538" s="44">
        <f t="shared" si="94"/>
        <v>1.0000000000000004</v>
      </c>
      <c r="AH538" s="55">
        <f t="shared" si="95"/>
        <v>0</v>
      </c>
      <c r="AI538" s="55">
        <f>COUNTIF('Score BD'!$M538:$P538,"no")</f>
        <v>0</v>
      </c>
      <c r="AJ538" s="55" t="str">
        <f t="shared" si="96"/>
        <v>-</v>
      </c>
      <c r="AK538" s="55" t="str">
        <f t="shared" si="97"/>
        <v>-</v>
      </c>
      <c r="AL538" s="55" t="str">
        <f t="shared" si="98"/>
        <v>-</v>
      </c>
      <c r="AM538" s="56"/>
      <c r="AN538" s="55"/>
      <c r="AO538" s="61"/>
      <c r="AP538" s="61"/>
      <c r="AQ538" s="59" t="str">
        <f>IFERROR(_xlfn.XLOOKUP(Tabla1[[#This Row],[Cedula agente]],Lista!$B$2:$B$97,Lista!$G$2:$G$97)," ")</f>
        <v xml:space="preserve"> </v>
      </c>
      <c r="AR538" s="59"/>
      <c r="AS538" s="55" t="str">
        <f>IFERROR(_xlfn.XLOOKUP(Tabla1[[#This Row],[Cedula agente]],Lista!$B$2:$B$97,Lista!$F$2:$F$97)," ")</f>
        <v xml:space="preserve"> </v>
      </c>
      <c r="AT538" s="99">
        <v>0.95</v>
      </c>
      <c r="AU538" s="200">
        <f>+WEEKNUM('Score BD'!$H538)-WEEKNUM(DATE(YEAR('Score BD'!$H538),MONTH('Score BD'!$H538),1))+1</f>
        <v>0</v>
      </c>
    </row>
    <row r="539" spans="1:47" ht="17.45" customHeight="1" x14ac:dyDescent="0.3">
      <c r="A539" s="49" t="str">
        <f t="shared" si="88"/>
        <v xml:space="preserve"> </v>
      </c>
      <c r="B539" s="50">
        <f>+IFERROR(COUNTIF($J$3:J539,J539)," ")</f>
        <v>0</v>
      </c>
      <c r="C539" s="54" t="str">
        <f>+'Score BD'!$J539&amp;'Score BD'!$B539</f>
        <v>0</v>
      </c>
      <c r="D539" s="91"/>
      <c r="E539" s="92"/>
      <c r="F539" s="92"/>
      <c r="G539" s="60" t="str">
        <f t="shared" si="89"/>
        <v>Enero</v>
      </c>
      <c r="H539" s="67"/>
      <c r="I539" s="156"/>
      <c r="J539" s="58"/>
      <c r="K539" s="54" t="str">
        <f>IFERROR(VLOOKUP('Score BD'!$J539,Lista!A:B,2,0)," ")</f>
        <v xml:space="preserve"> </v>
      </c>
      <c r="L539" s="61"/>
      <c r="M539" s="43"/>
      <c r="N539" s="43"/>
      <c r="O539" s="43"/>
      <c r="P539" s="43"/>
      <c r="Q539" s="96">
        <f t="shared" si="90"/>
        <v>1</v>
      </c>
      <c r="R539" s="43"/>
      <c r="S539" s="43"/>
      <c r="T539" s="43"/>
      <c r="U539" s="43"/>
      <c r="V539" s="45">
        <f t="shared" si="91"/>
        <v>1</v>
      </c>
      <c r="W539" s="43"/>
      <c r="X539" s="43"/>
      <c r="Y539" s="43"/>
      <c r="Z539" s="43"/>
      <c r="AA539" s="43"/>
      <c r="AB539" s="43"/>
      <c r="AC539" s="45">
        <f t="shared" si="92"/>
        <v>1.000000000000002</v>
      </c>
      <c r="AD539" s="43"/>
      <c r="AE539" s="43"/>
      <c r="AF539" s="97">
        <f t="shared" si="93"/>
        <v>1</v>
      </c>
      <c r="AG539" s="44">
        <f t="shared" si="94"/>
        <v>1.0000000000000004</v>
      </c>
      <c r="AH539" s="55">
        <f t="shared" si="95"/>
        <v>0</v>
      </c>
      <c r="AI539" s="55">
        <f>COUNTIF('Score BD'!$M539:$P539,"no")</f>
        <v>0</v>
      </c>
      <c r="AJ539" s="55" t="str">
        <f t="shared" si="96"/>
        <v>-</v>
      </c>
      <c r="AK539" s="55" t="str">
        <f t="shared" si="97"/>
        <v>-</v>
      </c>
      <c r="AL539" s="55" t="str">
        <f t="shared" si="98"/>
        <v>-</v>
      </c>
      <c r="AM539" s="56"/>
      <c r="AN539" s="55"/>
      <c r="AO539" s="61"/>
      <c r="AP539" s="61"/>
      <c r="AQ539" s="59" t="str">
        <f>IFERROR(_xlfn.XLOOKUP(Tabla1[[#This Row],[Cedula agente]],Lista!$B$2:$B$97,Lista!$G$2:$G$97)," ")</f>
        <v xml:space="preserve"> </v>
      </c>
      <c r="AR539" s="59"/>
      <c r="AS539" s="55" t="str">
        <f>IFERROR(_xlfn.XLOOKUP(Tabla1[[#This Row],[Cedula agente]],Lista!$B$2:$B$97,Lista!$F$2:$F$97)," ")</f>
        <v xml:space="preserve"> </v>
      </c>
      <c r="AT539" s="99">
        <v>0.95</v>
      </c>
      <c r="AU539" s="200">
        <f>+WEEKNUM('Score BD'!$H539)-WEEKNUM(DATE(YEAR('Score BD'!$H539),MONTH('Score BD'!$H539),1))+1</f>
        <v>0</v>
      </c>
    </row>
    <row r="540" spans="1:47" ht="17.45" customHeight="1" x14ac:dyDescent="0.3">
      <c r="A540" s="49" t="str">
        <f t="shared" si="88"/>
        <v xml:space="preserve"> </v>
      </c>
      <c r="B540" s="50">
        <f>+IFERROR(COUNTIF($J$3:J540,J540)," ")</f>
        <v>0</v>
      </c>
      <c r="C540" s="54" t="str">
        <f>+'Score BD'!$J540&amp;'Score BD'!$B540</f>
        <v>0</v>
      </c>
      <c r="D540" s="91"/>
      <c r="E540" s="92"/>
      <c r="F540" s="92"/>
      <c r="G540" s="60" t="str">
        <f t="shared" si="89"/>
        <v>Enero</v>
      </c>
      <c r="H540" s="67"/>
      <c r="I540" s="156"/>
      <c r="J540" s="58"/>
      <c r="K540" s="54" t="str">
        <f>IFERROR(VLOOKUP('Score BD'!$J540,Lista!A:B,2,0)," ")</f>
        <v xml:space="preserve"> </v>
      </c>
      <c r="L540" s="61"/>
      <c r="M540" s="43"/>
      <c r="N540" s="43"/>
      <c r="O540" s="43"/>
      <c r="P540" s="43"/>
      <c r="Q540" s="96">
        <f t="shared" si="90"/>
        <v>1</v>
      </c>
      <c r="R540" s="43"/>
      <c r="S540" s="43"/>
      <c r="T540" s="43"/>
      <c r="U540" s="43"/>
      <c r="V540" s="45">
        <f t="shared" si="91"/>
        <v>1</v>
      </c>
      <c r="W540" s="43"/>
      <c r="X540" s="43"/>
      <c r="Y540" s="43"/>
      <c r="Z540" s="43"/>
      <c r="AA540" s="43"/>
      <c r="AB540" s="43"/>
      <c r="AC540" s="45">
        <f t="shared" si="92"/>
        <v>1.000000000000002</v>
      </c>
      <c r="AD540" s="43"/>
      <c r="AE540" s="43"/>
      <c r="AF540" s="97">
        <f t="shared" si="93"/>
        <v>1</v>
      </c>
      <c r="AG540" s="44">
        <f t="shared" si="94"/>
        <v>1.0000000000000004</v>
      </c>
      <c r="AH540" s="55">
        <f t="shared" si="95"/>
        <v>0</v>
      </c>
      <c r="AI540" s="55">
        <f>COUNTIF('Score BD'!$M540:$P540,"no")</f>
        <v>0</v>
      </c>
      <c r="AJ540" s="55" t="str">
        <f t="shared" si="96"/>
        <v>-</v>
      </c>
      <c r="AK540" s="55" t="str">
        <f t="shared" si="97"/>
        <v>-</v>
      </c>
      <c r="AL540" s="55" t="str">
        <f t="shared" si="98"/>
        <v>-</v>
      </c>
      <c r="AM540" s="56"/>
      <c r="AN540" s="55"/>
      <c r="AO540" s="61"/>
      <c r="AP540" s="61"/>
      <c r="AQ540" s="59" t="str">
        <f>IFERROR(_xlfn.XLOOKUP(Tabla1[[#This Row],[Cedula agente]],Lista!$B$2:$B$97,Lista!$G$2:$G$97)," ")</f>
        <v xml:space="preserve"> </v>
      </c>
      <c r="AR540" s="59"/>
      <c r="AS540" s="55" t="str">
        <f>IFERROR(_xlfn.XLOOKUP(Tabla1[[#This Row],[Cedula agente]],Lista!$B$2:$B$97,Lista!$F$2:$F$97)," ")</f>
        <v xml:space="preserve"> </v>
      </c>
      <c r="AT540" s="99">
        <v>0.95</v>
      </c>
      <c r="AU540" s="200">
        <f>+WEEKNUM('Score BD'!$H540)-WEEKNUM(DATE(YEAR('Score BD'!$H540),MONTH('Score BD'!$H540),1))+1</f>
        <v>0</v>
      </c>
    </row>
    <row r="541" spans="1:47" ht="17.45" customHeight="1" x14ac:dyDescent="0.3">
      <c r="A541" s="49" t="str">
        <f t="shared" si="88"/>
        <v xml:space="preserve"> </v>
      </c>
      <c r="B541" s="50">
        <f>+IFERROR(COUNTIF($J$3:J541,J541)," ")</f>
        <v>0</v>
      </c>
      <c r="C541" s="54" t="str">
        <f>+'Score BD'!$J541&amp;'Score BD'!$B541</f>
        <v>0</v>
      </c>
      <c r="D541" s="91"/>
      <c r="E541" s="92"/>
      <c r="F541" s="92"/>
      <c r="G541" s="60" t="str">
        <f t="shared" si="89"/>
        <v>Enero</v>
      </c>
      <c r="H541" s="67"/>
      <c r="I541" s="156"/>
      <c r="J541" s="58"/>
      <c r="K541" s="54" t="str">
        <f>IFERROR(VLOOKUP('Score BD'!$J541,Lista!A:B,2,0)," ")</f>
        <v xml:space="preserve"> </v>
      </c>
      <c r="L541" s="61"/>
      <c r="M541" s="43"/>
      <c r="N541" s="43"/>
      <c r="O541" s="43"/>
      <c r="P541" s="43"/>
      <c r="Q541" s="96">
        <f t="shared" si="90"/>
        <v>1</v>
      </c>
      <c r="R541" s="43"/>
      <c r="S541" s="43"/>
      <c r="T541" s="43"/>
      <c r="U541" s="43"/>
      <c r="V541" s="45">
        <f t="shared" si="91"/>
        <v>1</v>
      </c>
      <c r="W541" s="43"/>
      <c r="X541" s="43"/>
      <c r="Y541" s="43"/>
      <c r="Z541" s="43"/>
      <c r="AA541" s="43"/>
      <c r="AB541" s="43"/>
      <c r="AC541" s="45">
        <f t="shared" si="92"/>
        <v>1.000000000000002</v>
      </c>
      <c r="AD541" s="43"/>
      <c r="AE541" s="43"/>
      <c r="AF541" s="97">
        <f t="shared" si="93"/>
        <v>1</v>
      </c>
      <c r="AG541" s="44">
        <f t="shared" si="94"/>
        <v>1.0000000000000004</v>
      </c>
      <c r="AH541" s="55">
        <f t="shared" si="95"/>
        <v>0</v>
      </c>
      <c r="AI541" s="55">
        <f>COUNTIF('Score BD'!$M541:$P541,"no")</f>
        <v>0</v>
      </c>
      <c r="AJ541" s="55" t="str">
        <f t="shared" si="96"/>
        <v>-</v>
      </c>
      <c r="AK541" s="55" t="str">
        <f t="shared" si="97"/>
        <v>-</v>
      </c>
      <c r="AL541" s="55" t="str">
        <f t="shared" si="98"/>
        <v>-</v>
      </c>
      <c r="AM541" s="56"/>
      <c r="AN541" s="55"/>
      <c r="AO541" s="61"/>
      <c r="AP541" s="61"/>
      <c r="AQ541" s="59" t="str">
        <f>IFERROR(_xlfn.XLOOKUP(Tabla1[[#This Row],[Cedula agente]],Lista!$B$2:$B$97,Lista!$G$2:$G$97)," ")</f>
        <v xml:space="preserve"> </v>
      </c>
      <c r="AR541" s="59"/>
      <c r="AS541" s="55" t="str">
        <f>IFERROR(_xlfn.XLOOKUP(Tabla1[[#This Row],[Cedula agente]],Lista!$B$2:$B$97,Lista!$F$2:$F$97)," ")</f>
        <v xml:space="preserve"> </v>
      </c>
      <c r="AT541" s="99">
        <v>0.95</v>
      </c>
      <c r="AU541" s="200">
        <f>+WEEKNUM('Score BD'!$H541)-WEEKNUM(DATE(YEAR('Score BD'!$H541),MONTH('Score BD'!$H541),1))+1</f>
        <v>0</v>
      </c>
    </row>
    <row r="542" spans="1:47" ht="17.45" customHeight="1" x14ac:dyDescent="0.3">
      <c r="A542" s="49" t="str">
        <f t="shared" si="88"/>
        <v xml:space="preserve"> </v>
      </c>
      <c r="B542" s="50">
        <f>+IFERROR(COUNTIF($J$3:J542,J542)," ")</f>
        <v>0</v>
      </c>
      <c r="C542" s="54" t="str">
        <f>+'Score BD'!$J542&amp;'Score BD'!$B542</f>
        <v>0</v>
      </c>
      <c r="D542" s="91"/>
      <c r="E542" s="92"/>
      <c r="F542" s="92"/>
      <c r="G542" s="60" t="str">
        <f t="shared" si="89"/>
        <v>Enero</v>
      </c>
      <c r="H542" s="67"/>
      <c r="I542" s="156"/>
      <c r="J542" s="58"/>
      <c r="K542" s="54" t="str">
        <f>IFERROR(VLOOKUP('Score BD'!$J542,Lista!A:B,2,0)," ")</f>
        <v xml:space="preserve"> </v>
      </c>
      <c r="L542" s="61"/>
      <c r="M542" s="43"/>
      <c r="N542" s="43"/>
      <c r="O542" s="43"/>
      <c r="P542" s="43"/>
      <c r="Q542" s="96">
        <f t="shared" si="90"/>
        <v>1</v>
      </c>
      <c r="R542" s="43"/>
      <c r="S542" s="43"/>
      <c r="T542" s="43"/>
      <c r="U542" s="43"/>
      <c r="V542" s="45">
        <f t="shared" si="91"/>
        <v>1</v>
      </c>
      <c r="W542" s="43"/>
      <c r="X542" s="43"/>
      <c r="Y542" s="43"/>
      <c r="Z542" s="43"/>
      <c r="AA542" s="43"/>
      <c r="AB542" s="43"/>
      <c r="AC542" s="45">
        <f t="shared" si="92"/>
        <v>1.000000000000002</v>
      </c>
      <c r="AD542" s="43"/>
      <c r="AE542" s="43"/>
      <c r="AF542" s="97">
        <f t="shared" si="93"/>
        <v>1</v>
      </c>
      <c r="AG542" s="44">
        <f t="shared" si="94"/>
        <v>1.0000000000000004</v>
      </c>
      <c r="AH542" s="55">
        <f t="shared" si="95"/>
        <v>0</v>
      </c>
      <c r="AI542" s="55">
        <f>COUNTIF('Score BD'!$M542:$P542,"no")</f>
        <v>0</v>
      </c>
      <c r="AJ542" s="55" t="str">
        <f t="shared" si="96"/>
        <v>-</v>
      </c>
      <c r="AK542" s="55" t="str">
        <f t="shared" si="97"/>
        <v>-</v>
      </c>
      <c r="AL542" s="55" t="str">
        <f t="shared" si="98"/>
        <v>-</v>
      </c>
      <c r="AM542" s="56"/>
      <c r="AN542" s="55"/>
      <c r="AO542" s="61"/>
      <c r="AP542" s="61"/>
      <c r="AQ542" s="59" t="str">
        <f>IFERROR(_xlfn.XLOOKUP(Tabla1[[#This Row],[Cedula agente]],Lista!$B$2:$B$97,Lista!$G$2:$G$97)," ")</f>
        <v xml:space="preserve"> </v>
      </c>
      <c r="AR542" s="59"/>
      <c r="AS542" s="55" t="str">
        <f>IFERROR(_xlfn.XLOOKUP(Tabla1[[#This Row],[Cedula agente]],Lista!$B$2:$B$97,Lista!$F$2:$F$97)," ")</f>
        <v xml:space="preserve"> </v>
      </c>
      <c r="AT542" s="99">
        <v>0.95</v>
      </c>
      <c r="AU542" s="200">
        <f>+WEEKNUM('Score BD'!$H542)-WEEKNUM(DATE(YEAR('Score BD'!$H542),MONTH('Score BD'!$H542),1))+1</f>
        <v>0</v>
      </c>
    </row>
    <row r="543" spans="1:47" ht="17.45" customHeight="1" x14ac:dyDescent="0.3">
      <c r="A543" s="49" t="str">
        <f t="shared" si="88"/>
        <v xml:space="preserve"> </v>
      </c>
      <c r="B543" s="50">
        <f>+IFERROR(COUNTIF($J$3:J543,J543)," ")</f>
        <v>0</v>
      </c>
      <c r="C543" s="54" t="str">
        <f>+'Score BD'!$J543&amp;'Score BD'!$B543</f>
        <v>0</v>
      </c>
      <c r="D543" s="91"/>
      <c r="E543" s="92"/>
      <c r="F543" s="92"/>
      <c r="G543" s="60" t="str">
        <f t="shared" si="89"/>
        <v>Enero</v>
      </c>
      <c r="H543" s="67"/>
      <c r="I543" s="156"/>
      <c r="J543" s="58"/>
      <c r="K543" s="54" t="str">
        <f>IFERROR(VLOOKUP('Score BD'!$J543,Lista!A:B,2,0)," ")</f>
        <v xml:space="preserve"> </v>
      </c>
      <c r="L543" s="61"/>
      <c r="M543" s="43"/>
      <c r="N543" s="43"/>
      <c r="O543" s="43"/>
      <c r="P543" s="43"/>
      <c r="Q543" s="96">
        <f t="shared" si="90"/>
        <v>1</v>
      </c>
      <c r="R543" s="43"/>
      <c r="S543" s="43"/>
      <c r="T543" s="43"/>
      <c r="U543" s="43"/>
      <c r="V543" s="45">
        <f t="shared" si="91"/>
        <v>1</v>
      </c>
      <c r="W543" s="43"/>
      <c r="X543" s="43"/>
      <c r="Y543" s="43"/>
      <c r="Z543" s="43"/>
      <c r="AA543" s="43"/>
      <c r="AB543" s="43"/>
      <c r="AC543" s="45">
        <f t="shared" si="92"/>
        <v>1.000000000000002</v>
      </c>
      <c r="AD543" s="43"/>
      <c r="AE543" s="43"/>
      <c r="AF543" s="97">
        <f t="shared" si="93"/>
        <v>1</v>
      </c>
      <c r="AG543" s="44">
        <f t="shared" si="94"/>
        <v>1.0000000000000004</v>
      </c>
      <c r="AH543" s="55">
        <f t="shared" si="95"/>
        <v>0</v>
      </c>
      <c r="AI543" s="55">
        <f>COUNTIF('Score BD'!$M543:$P543,"no")</f>
        <v>0</v>
      </c>
      <c r="AJ543" s="55" t="str">
        <f t="shared" si="96"/>
        <v>-</v>
      </c>
      <c r="AK543" s="55" t="str">
        <f t="shared" si="97"/>
        <v>-</v>
      </c>
      <c r="AL543" s="55" t="str">
        <f t="shared" si="98"/>
        <v>-</v>
      </c>
      <c r="AM543" s="56"/>
      <c r="AN543" s="55"/>
      <c r="AO543" s="61"/>
      <c r="AP543" s="61"/>
      <c r="AQ543" s="59" t="str">
        <f>IFERROR(_xlfn.XLOOKUP(Tabla1[[#This Row],[Cedula agente]],Lista!$B$2:$B$97,Lista!$G$2:$G$97)," ")</f>
        <v xml:space="preserve"> </v>
      </c>
      <c r="AR543" s="59"/>
      <c r="AS543" s="55" t="str">
        <f>IFERROR(_xlfn.XLOOKUP(Tabla1[[#This Row],[Cedula agente]],Lista!$B$2:$B$97,Lista!$F$2:$F$97)," ")</f>
        <v xml:space="preserve"> </v>
      </c>
      <c r="AT543" s="99">
        <v>0.95</v>
      </c>
      <c r="AU543" s="200">
        <f>+WEEKNUM('Score BD'!$H543)-WEEKNUM(DATE(YEAR('Score BD'!$H543),MONTH('Score BD'!$H543),1))+1</f>
        <v>0</v>
      </c>
    </row>
    <row r="544" spans="1:47" ht="17.45" customHeight="1" x14ac:dyDescent="0.3">
      <c r="A544" s="49" t="str">
        <f t="shared" si="88"/>
        <v xml:space="preserve"> </v>
      </c>
      <c r="B544" s="50">
        <f>+IFERROR(COUNTIF($J$3:J544,J544)," ")</f>
        <v>0</v>
      </c>
      <c r="C544" s="54" t="str">
        <f>+'Score BD'!$J544&amp;'Score BD'!$B544</f>
        <v>0</v>
      </c>
      <c r="D544" s="91"/>
      <c r="E544" s="92"/>
      <c r="F544" s="92"/>
      <c r="G544" s="60" t="str">
        <f t="shared" si="89"/>
        <v>Enero</v>
      </c>
      <c r="H544" s="67"/>
      <c r="I544" s="156"/>
      <c r="J544" s="58"/>
      <c r="K544" s="54" t="str">
        <f>IFERROR(VLOOKUP('Score BD'!$J544,Lista!A:B,2,0)," ")</f>
        <v xml:space="preserve"> </v>
      </c>
      <c r="L544" s="61"/>
      <c r="M544" s="43"/>
      <c r="N544" s="43"/>
      <c r="O544" s="43"/>
      <c r="P544" s="43"/>
      <c r="Q544" s="96">
        <f t="shared" si="90"/>
        <v>1</v>
      </c>
      <c r="R544" s="43"/>
      <c r="S544" s="43"/>
      <c r="T544" s="43"/>
      <c r="U544" s="43"/>
      <c r="V544" s="45">
        <f t="shared" si="91"/>
        <v>1</v>
      </c>
      <c r="W544" s="43"/>
      <c r="X544" s="43"/>
      <c r="Y544" s="43"/>
      <c r="Z544" s="43"/>
      <c r="AA544" s="43"/>
      <c r="AB544" s="43"/>
      <c r="AC544" s="45">
        <f t="shared" si="92"/>
        <v>1.000000000000002</v>
      </c>
      <c r="AD544" s="43"/>
      <c r="AE544" s="43"/>
      <c r="AF544" s="97">
        <f t="shared" si="93"/>
        <v>1</v>
      </c>
      <c r="AG544" s="44">
        <f t="shared" si="94"/>
        <v>1.0000000000000004</v>
      </c>
      <c r="AH544" s="55">
        <f t="shared" si="95"/>
        <v>0</v>
      </c>
      <c r="AI544" s="55">
        <f>COUNTIF('Score BD'!$M544:$P544,"no")</f>
        <v>0</v>
      </c>
      <c r="AJ544" s="55" t="str">
        <f t="shared" si="96"/>
        <v>-</v>
      </c>
      <c r="AK544" s="55" t="str">
        <f t="shared" si="97"/>
        <v>-</v>
      </c>
      <c r="AL544" s="55" t="str">
        <f t="shared" si="98"/>
        <v>-</v>
      </c>
      <c r="AM544" s="56"/>
      <c r="AN544" s="55"/>
      <c r="AO544" s="61"/>
      <c r="AP544" s="61"/>
      <c r="AQ544" s="59" t="str">
        <f>IFERROR(_xlfn.XLOOKUP(Tabla1[[#This Row],[Cedula agente]],Lista!$B$2:$B$97,Lista!$G$2:$G$97)," ")</f>
        <v xml:space="preserve"> </v>
      </c>
      <c r="AR544" s="59"/>
      <c r="AS544" s="55" t="str">
        <f>IFERROR(_xlfn.XLOOKUP(Tabla1[[#This Row],[Cedula agente]],Lista!$B$2:$B$97,Lista!$F$2:$F$97)," ")</f>
        <v xml:space="preserve"> </v>
      </c>
      <c r="AT544" s="99">
        <v>0.95</v>
      </c>
      <c r="AU544" s="200">
        <f>+WEEKNUM('Score BD'!$H544)-WEEKNUM(DATE(YEAR('Score BD'!$H544),MONTH('Score BD'!$H544),1))+1</f>
        <v>0</v>
      </c>
    </row>
    <row r="545" spans="1:47" ht="17.45" customHeight="1" x14ac:dyDescent="0.3">
      <c r="A545" s="49" t="str">
        <f t="shared" si="88"/>
        <v xml:space="preserve"> </v>
      </c>
      <c r="B545" s="50">
        <f>+IFERROR(COUNTIF($J$3:J545,J545)," ")</f>
        <v>0</v>
      </c>
      <c r="C545" s="54" t="str">
        <f>+'Score BD'!$J545&amp;'Score BD'!$B545</f>
        <v>0</v>
      </c>
      <c r="D545" s="91"/>
      <c r="E545" s="92"/>
      <c r="F545" s="92"/>
      <c r="G545" s="60" t="str">
        <f t="shared" si="89"/>
        <v>Enero</v>
      </c>
      <c r="H545" s="67"/>
      <c r="I545" s="156"/>
      <c r="J545" s="58"/>
      <c r="K545" s="54" t="str">
        <f>IFERROR(VLOOKUP('Score BD'!$J545,Lista!A:B,2,0)," ")</f>
        <v xml:space="preserve"> </v>
      </c>
      <c r="L545" s="61"/>
      <c r="M545" s="43"/>
      <c r="N545" s="43"/>
      <c r="O545" s="43"/>
      <c r="P545" s="43"/>
      <c r="Q545" s="96">
        <f t="shared" si="90"/>
        <v>1</v>
      </c>
      <c r="R545" s="43"/>
      <c r="S545" s="43"/>
      <c r="T545" s="43"/>
      <c r="U545" s="43"/>
      <c r="V545" s="45">
        <f t="shared" si="91"/>
        <v>1</v>
      </c>
      <c r="W545" s="43"/>
      <c r="X545" s="43"/>
      <c r="Y545" s="43"/>
      <c r="Z545" s="43"/>
      <c r="AA545" s="43"/>
      <c r="AB545" s="43"/>
      <c r="AC545" s="45">
        <f t="shared" si="92"/>
        <v>1.000000000000002</v>
      </c>
      <c r="AD545" s="43"/>
      <c r="AE545" s="43"/>
      <c r="AF545" s="97">
        <f t="shared" si="93"/>
        <v>1</v>
      </c>
      <c r="AG545" s="44">
        <f t="shared" si="94"/>
        <v>1.0000000000000004</v>
      </c>
      <c r="AH545" s="55">
        <f t="shared" si="95"/>
        <v>0</v>
      </c>
      <c r="AI545" s="55">
        <f>COUNTIF('Score BD'!$M545:$P545,"no")</f>
        <v>0</v>
      </c>
      <c r="AJ545" s="55" t="str">
        <f t="shared" si="96"/>
        <v>-</v>
      </c>
      <c r="AK545" s="55" t="str">
        <f t="shared" si="97"/>
        <v>-</v>
      </c>
      <c r="AL545" s="55" t="str">
        <f t="shared" si="98"/>
        <v>-</v>
      </c>
      <c r="AM545" s="56"/>
      <c r="AN545" s="55"/>
      <c r="AO545" s="61"/>
      <c r="AP545" s="61"/>
      <c r="AQ545" s="59" t="str">
        <f>IFERROR(_xlfn.XLOOKUP(Tabla1[[#This Row],[Cedula agente]],Lista!$B$2:$B$97,Lista!$G$2:$G$97)," ")</f>
        <v xml:space="preserve"> </v>
      </c>
      <c r="AR545" s="59"/>
      <c r="AS545" s="55" t="str">
        <f>IFERROR(_xlfn.XLOOKUP(Tabla1[[#This Row],[Cedula agente]],Lista!$B$2:$B$97,Lista!$F$2:$F$97)," ")</f>
        <v xml:space="preserve"> </v>
      </c>
      <c r="AT545" s="99">
        <v>0.95</v>
      </c>
      <c r="AU545" s="200">
        <f>+WEEKNUM('Score BD'!$H545)-WEEKNUM(DATE(YEAR('Score BD'!$H545),MONTH('Score BD'!$H545),1))+1</f>
        <v>0</v>
      </c>
    </row>
    <row r="546" spans="1:47" ht="17.45" customHeight="1" x14ac:dyDescent="0.3">
      <c r="A546" s="49" t="str">
        <f t="shared" si="88"/>
        <v xml:space="preserve"> </v>
      </c>
      <c r="B546" s="50">
        <f>+IFERROR(COUNTIF($J$3:J546,J546)," ")</f>
        <v>0</v>
      </c>
      <c r="C546" s="54" t="str">
        <f>+'Score BD'!$J546&amp;'Score BD'!$B546</f>
        <v>0</v>
      </c>
      <c r="D546" s="91"/>
      <c r="E546" s="92"/>
      <c r="F546" s="92"/>
      <c r="G546" s="60" t="str">
        <f t="shared" si="89"/>
        <v>Enero</v>
      </c>
      <c r="H546" s="67"/>
      <c r="I546" s="156"/>
      <c r="J546" s="58"/>
      <c r="K546" s="54" t="str">
        <f>IFERROR(VLOOKUP('Score BD'!$J546,Lista!A:B,2,0)," ")</f>
        <v xml:space="preserve"> </v>
      </c>
      <c r="L546" s="61"/>
      <c r="M546" s="43"/>
      <c r="N546" s="43"/>
      <c r="O546" s="43"/>
      <c r="P546" s="43"/>
      <c r="Q546" s="96">
        <f t="shared" si="90"/>
        <v>1</v>
      </c>
      <c r="R546" s="43"/>
      <c r="S546" s="43"/>
      <c r="T546" s="43"/>
      <c r="U546" s="43"/>
      <c r="V546" s="45">
        <f t="shared" si="91"/>
        <v>1</v>
      </c>
      <c r="W546" s="43"/>
      <c r="X546" s="43"/>
      <c r="Y546" s="43"/>
      <c r="Z546" s="43"/>
      <c r="AA546" s="43"/>
      <c r="AB546" s="43"/>
      <c r="AC546" s="45">
        <f t="shared" si="92"/>
        <v>1.000000000000002</v>
      </c>
      <c r="AD546" s="43"/>
      <c r="AE546" s="43"/>
      <c r="AF546" s="97">
        <f t="shared" si="93"/>
        <v>1</v>
      </c>
      <c r="AG546" s="44">
        <f t="shared" si="94"/>
        <v>1.0000000000000004</v>
      </c>
      <c r="AH546" s="55">
        <f t="shared" si="95"/>
        <v>0</v>
      </c>
      <c r="AI546" s="55">
        <f>COUNTIF('Score BD'!$M546:$P546,"no")</f>
        <v>0</v>
      </c>
      <c r="AJ546" s="55" t="str">
        <f t="shared" si="96"/>
        <v>-</v>
      </c>
      <c r="AK546" s="55" t="str">
        <f t="shared" si="97"/>
        <v>-</v>
      </c>
      <c r="AL546" s="55" t="str">
        <f t="shared" si="98"/>
        <v>-</v>
      </c>
      <c r="AM546" s="56"/>
      <c r="AN546" s="55"/>
      <c r="AO546" s="61"/>
      <c r="AP546" s="61"/>
      <c r="AQ546" s="59" t="str">
        <f>IFERROR(_xlfn.XLOOKUP(Tabla1[[#This Row],[Cedula agente]],Lista!$B$2:$B$97,Lista!$G$2:$G$97)," ")</f>
        <v xml:space="preserve"> </v>
      </c>
      <c r="AR546" s="59"/>
      <c r="AS546" s="55" t="str">
        <f>IFERROR(_xlfn.XLOOKUP(Tabla1[[#This Row],[Cedula agente]],Lista!$B$2:$B$97,Lista!$F$2:$F$97)," ")</f>
        <v xml:space="preserve"> </v>
      </c>
      <c r="AT546" s="99">
        <v>0.95</v>
      </c>
      <c r="AU546" s="200">
        <f>+WEEKNUM('Score BD'!$H546)-WEEKNUM(DATE(YEAR('Score BD'!$H546),MONTH('Score BD'!$H546),1))+1</f>
        <v>0</v>
      </c>
    </row>
    <row r="547" spans="1:47" ht="17.45" customHeight="1" x14ac:dyDescent="0.3">
      <c r="A547" s="49" t="str">
        <f t="shared" si="88"/>
        <v xml:space="preserve"> </v>
      </c>
      <c r="B547" s="50">
        <f>+IFERROR(COUNTIF($J$3:J547,J547)," ")</f>
        <v>0</v>
      </c>
      <c r="C547" s="54" t="str">
        <f>+'Score BD'!$J547&amp;'Score BD'!$B547</f>
        <v>0</v>
      </c>
      <c r="D547" s="91"/>
      <c r="E547" s="92"/>
      <c r="F547" s="92"/>
      <c r="G547" s="60" t="str">
        <f t="shared" si="89"/>
        <v>Enero</v>
      </c>
      <c r="H547" s="67"/>
      <c r="I547" s="156"/>
      <c r="J547" s="58"/>
      <c r="K547" s="54" t="str">
        <f>IFERROR(VLOOKUP('Score BD'!$J547,Lista!A:B,2,0)," ")</f>
        <v xml:space="preserve"> </v>
      </c>
      <c r="L547" s="61"/>
      <c r="M547" s="43"/>
      <c r="N547" s="43"/>
      <c r="O547" s="43"/>
      <c r="P547" s="43"/>
      <c r="Q547" s="96">
        <f t="shared" si="90"/>
        <v>1</v>
      </c>
      <c r="R547" s="43"/>
      <c r="S547" s="43"/>
      <c r="T547" s="43"/>
      <c r="U547" s="43"/>
      <c r="V547" s="45">
        <f t="shared" si="91"/>
        <v>1</v>
      </c>
      <c r="W547" s="43"/>
      <c r="X547" s="43"/>
      <c r="Y547" s="43"/>
      <c r="Z547" s="43"/>
      <c r="AA547" s="43"/>
      <c r="AB547" s="43"/>
      <c r="AC547" s="45">
        <f t="shared" si="92"/>
        <v>1.000000000000002</v>
      </c>
      <c r="AD547" s="43"/>
      <c r="AE547" s="43"/>
      <c r="AF547" s="97">
        <f t="shared" si="93"/>
        <v>1</v>
      </c>
      <c r="AG547" s="44">
        <f t="shared" si="94"/>
        <v>1.0000000000000004</v>
      </c>
      <c r="AH547" s="55">
        <f t="shared" si="95"/>
        <v>0</v>
      </c>
      <c r="AI547" s="55">
        <f>COUNTIF('Score BD'!$M547:$P547,"no")</f>
        <v>0</v>
      </c>
      <c r="AJ547" s="55" t="str">
        <f t="shared" si="96"/>
        <v>-</v>
      </c>
      <c r="AK547" s="55" t="str">
        <f t="shared" si="97"/>
        <v>-</v>
      </c>
      <c r="AL547" s="55" t="str">
        <f t="shared" si="98"/>
        <v>-</v>
      </c>
      <c r="AM547" s="56"/>
      <c r="AN547" s="55"/>
      <c r="AO547" s="61"/>
      <c r="AP547" s="61"/>
      <c r="AQ547" s="59" t="str">
        <f>IFERROR(_xlfn.XLOOKUP(Tabla1[[#This Row],[Cedula agente]],Lista!$B$2:$B$97,Lista!$G$2:$G$97)," ")</f>
        <v xml:space="preserve"> </v>
      </c>
      <c r="AR547" s="59"/>
      <c r="AS547" s="55" t="str">
        <f>IFERROR(_xlfn.XLOOKUP(Tabla1[[#This Row],[Cedula agente]],Lista!$B$2:$B$97,Lista!$F$2:$F$97)," ")</f>
        <v xml:space="preserve"> </v>
      </c>
      <c r="AT547" s="99">
        <v>0.95</v>
      </c>
      <c r="AU547" s="200">
        <f>+WEEKNUM('Score BD'!$H547)-WEEKNUM(DATE(YEAR('Score BD'!$H547),MONTH('Score BD'!$H547),1))+1</f>
        <v>0</v>
      </c>
    </row>
    <row r="548" spans="1:47" ht="17.45" customHeight="1" x14ac:dyDescent="0.3">
      <c r="A548" s="49" t="str">
        <f t="shared" si="88"/>
        <v xml:space="preserve"> </v>
      </c>
      <c r="B548" s="50">
        <f>+IFERROR(COUNTIF($J$3:J548,J548)," ")</f>
        <v>0</v>
      </c>
      <c r="C548" s="54" t="str">
        <f>+'Score BD'!$J548&amp;'Score BD'!$B548</f>
        <v>0</v>
      </c>
      <c r="D548" s="91"/>
      <c r="E548" s="92"/>
      <c r="F548" s="92"/>
      <c r="G548" s="60" t="str">
        <f t="shared" si="89"/>
        <v>Enero</v>
      </c>
      <c r="H548" s="67"/>
      <c r="I548" s="156"/>
      <c r="J548" s="58"/>
      <c r="K548" s="54" t="str">
        <f>IFERROR(VLOOKUP('Score BD'!$J548,Lista!A:B,2,0)," ")</f>
        <v xml:space="preserve"> </v>
      </c>
      <c r="L548" s="61"/>
      <c r="M548" s="43"/>
      <c r="N548" s="43"/>
      <c r="O548" s="43"/>
      <c r="P548" s="43"/>
      <c r="Q548" s="96">
        <f t="shared" si="90"/>
        <v>1</v>
      </c>
      <c r="R548" s="43"/>
      <c r="S548" s="43"/>
      <c r="T548" s="43"/>
      <c r="U548" s="43"/>
      <c r="V548" s="45">
        <f t="shared" si="91"/>
        <v>1</v>
      </c>
      <c r="W548" s="43"/>
      <c r="X548" s="43"/>
      <c r="Y548" s="43"/>
      <c r="Z548" s="43"/>
      <c r="AA548" s="43"/>
      <c r="AB548" s="43"/>
      <c r="AC548" s="45">
        <f t="shared" si="92"/>
        <v>1.000000000000002</v>
      </c>
      <c r="AD548" s="43"/>
      <c r="AE548" s="43"/>
      <c r="AF548" s="97">
        <f t="shared" si="93"/>
        <v>1</v>
      </c>
      <c r="AG548" s="44">
        <f t="shared" si="94"/>
        <v>1.0000000000000004</v>
      </c>
      <c r="AH548" s="55">
        <f t="shared" si="95"/>
        <v>0</v>
      </c>
      <c r="AI548" s="55">
        <f>COUNTIF('Score BD'!$M548:$P548,"no")</f>
        <v>0</v>
      </c>
      <c r="AJ548" s="55" t="str">
        <f t="shared" si="96"/>
        <v>-</v>
      </c>
      <c r="AK548" s="55" t="str">
        <f t="shared" si="97"/>
        <v>-</v>
      </c>
      <c r="AL548" s="55" t="str">
        <f t="shared" si="98"/>
        <v>-</v>
      </c>
      <c r="AM548" s="56"/>
      <c r="AN548" s="55"/>
      <c r="AO548" s="61"/>
      <c r="AP548" s="61"/>
      <c r="AQ548" s="59" t="str">
        <f>IFERROR(_xlfn.XLOOKUP(Tabla1[[#This Row],[Cedula agente]],Lista!$B$2:$B$97,Lista!$G$2:$G$97)," ")</f>
        <v xml:space="preserve"> </v>
      </c>
      <c r="AR548" s="59"/>
      <c r="AS548" s="55" t="str">
        <f>IFERROR(_xlfn.XLOOKUP(Tabla1[[#This Row],[Cedula agente]],Lista!$B$2:$B$97,Lista!$F$2:$F$97)," ")</f>
        <v xml:space="preserve"> </v>
      </c>
      <c r="AT548" s="99">
        <v>0.95</v>
      </c>
      <c r="AU548" s="200">
        <f>+WEEKNUM('Score BD'!$H548)-WEEKNUM(DATE(YEAR('Score BD'!$H548),MONTH('Score BD'!$H548),1))+1</f>
        <v>0</v>
      </c>
    </row>
    <row r="549" spans="1:47" ht="17.45" customHeight="1" x14ac:dyDescent="0.3">
      <c r="A549" s="49" t="str">
        <f t="shared" si="88"/>
        <v xml:space="preserve"> </v>
      </c>
      <c r="B549" s="50">
        <f>+IFERROR(COUNTIF($J$3:J549,J549)," ")</f>
        <v>0</v>
      </c>
      <c r="C549" s="54" t="str">
        <f>+'Score BD'!$J549&amp;'Score BD'!$B549</f>
        <v>0</v>
      </c>
      <c r="D549" s="91"/>
      <c r="E549" s="92"/>
      <c r="F549" s="92"/>
      <c r="G549" s="60" t="str">
        <f t="shared" si="89"/>
        <v>Enero</v>
      </c>
      <c r="H549" s="67"/>
      <c r="I549" s="156"/>
      <c r="J549" s="58"/>
      <c r="K549" s="54" t="str">
        <f>IFERROR(VLOOKUP('Score BD'!$J549,Lista!A:B,2,0)," ")</f>
        <v xml:space="preserve"> </v>
      </c>
      <c r="L549" s="61"/>
      <c r="M549" s="43"/>
      <c r="N549" s="43"/>
      <c r="O549" s="43"/>
      <c r="P549" s="43"/>
      <c r="Q549" s="96">
        <f t="shared" si="90"/>
        <v>1</v>
      </c>
      <c r="R549" s="43"/>
      <c r="S549" s="43"/>
      <c r="T549" s="43"/>
      <c r="U549" s="43"/>
      <c r="V549" s="45">
        <f t="shared" si="91"/>
        <v>1</v>
      </c>
      <c r="W549" s="43"/>
      <c r="X549" s="43"/>
      <c r="Y549" s="43"/>
      <c r="Z549" s="43"/>
      <c r="AA549" s="43"/>
      <c r="AB549" s="43"/>
      <c r="AC549" s="45">
        <f t="shared" si="92"/>
        <v>1.000000000000002</v>
      </c>
      <c r="AD549" s="43"/>
      <c r="AE549" s="43"/>
      <c r="AF549" s="97">
        <f t="shared" si="93"/>
        <v>1</v>
      </c>
      <c r="AG549" s="44">
        <f t="shared" si="94"/>
        <v>1.0000000000000004</v>
      </c>
      <c r="AH549" s="55">
        <f t="shared" si="95"/>
        <v>0</v>
      </c>
      <c r="AI549" s="55">
        <f>COUNTIF('Score BD'!$M549:$P549,"no")</f>
        <v>0</v>
      </c>
      <c r="AJ549" s="55" t="str">
        <f t="shared" si="96"/>
        <v>-</v>
      </c>
      <c r="AK549" s="55" t="str">
        <f t="shared" si="97"/>
        <v>-</v>
      </c>
      <c r="AL549" s="55" t="str">
        <f t="shared" si="98"/>
        <v>-</v>
      </c>
      <c r="AM549" s="56"/>
      <c r="AN549" s="55"/>
      <c r="AO549" s="61"/>
      <c r="AP549" s="61"/>
      <c r="AQ549" s="59" t="str">
        <f>IFERROR(_xlfn.XLOOKUP(Tabla1[[#This Row],[Cedula agente]],Lista!$B$2:$B$97,Lista!$G$2:$G$97)," ")</f>
        <v xml:space="preserve"> </v>
      </c>
      <c r="AR549" s="59"/>
      <c r="AS549" s="55" t="str">
        <f>IFERROR(_xlfn.XLOOKUP(Tabla1[[#This Row],[Cedula agente]],Lista!$B$2:$B$97,Lista!$F$2:$F$97)," ")</f>
        <v xml:space="preserve"> </v>
      </c>
      <c r="AT549" s="99">
        <v>0.95</v>
      </c>
      <c r="AU549" s="200">
        <f>+WEEKNUM('Score BD'!$H549)-WEEKNUM(DATE(YEAR('Score BD'!$H549),MONTH('Score BD'!$H549),1))+1</f>
        <v>0</v>
      </c>
    </row>
    <row r="550" spans="1:47" ht="17.45" customHeight="1" x14ac:dyDescent="0.3">
      <c r="A550" s="49" t="str">
        <f t="shared" si="88"/>
        <v xml:space="preserve"> </v>
      </c>
      <c r="B550" s="50">
        <f>+IFERROR(COUNTIF($J$3:J550,J550)," ")</f>
        <v>0</v>
      </c>
      <c r="C550" s="54" t="str">
        <f>+'Score BD'!$J550&amp;'Score BD'!$B550</f>
        <v>0</v>
      </c>
      <c r="D550" s="91"/>
      <c r="E550" s="92"/>
      <c r="F550" s="92"/>
      <c r="G550" s="60" t="str">
        <f t="shared" si="89"/>
        <v>Enero</v>
      </c>
      <c r="H550" s="67"/>
      <c r="I550" s="156"/>
      <c r="J550" s="58"/>
      <c r="K550" s="54" t="str">
        <f>IFERROR(VLOOKUP('Score BD'!$J550,Lista!A:B,2,0)," ")</f>
        <v xml:space="preserve"> </v>
      </c>
      <c r="L550" s="61"/>
      <c r="M550" s="43"/>
      <c r="N550" s="43"/>
      <c r="O550" s="43"/>
      <c r="P550" s="43"/>
      <c r="Q550" s="96">
        <f t="shared" si="90"/>
        <v>1</v>
      </c>
      <c r="R550" s="43"/>
      <c r="S550" s="43"/>
      <c r="T550" s="43"/>
      <c r="U550" s="43"/>
      <c r="V550" s="45">
        <f t="shared" si="91"/>
        <v>1</v>
      </c>
      <c r="W550" s="43"/>
      <c r="X550" s="43"/>
      <c r="Y550" s="43"/>
      <c r="Z550" s="43"/>
      <c r="AA550" s="43"/>
      <c r="AB550" s="43"/>
      <c r="AC550" s="45">
        <f t="shared" si="92"/>
        <v>1.000000000000002</v>
      </c>
      <c r="AD550" s="43"/>
      <c r="AE550" s="43"/>
      <c r="AF550" s="97">
        <f t="shared" si="93"/>
        <v>1</v>
      </c>
      <c r="AG550" s="44">
        <f t="shared" si="94"/>
        <v>1.0000000000000004</v>
      </c>
      <c r="AH550" s="55">
        <f t="shared" si="95"/>
        <v>0</v>
      </c>
      <c r="AI550" s="55">
        <f>COUNTIF('Score BD'!$M550:$P550,"no")</f>
        <v>0</v>
      </c>
      <c r="AJ550" s="55" t="str">
        <f t="shared" si="96"/>
        <v>-</v>
      </c>
      <c r="AK550" s="55" t="str">
        <f t="shared" si="97"/>
        <v>-</v>
      </c>
      <c r="AL550" s="55" t="str">
        <f t="shared" si="98"/>
        <v>-</v>
      </c>
      <c r="AM550" s="56"/>
      <c r="AN550" s="55"/>
      <c r="AO550" s="61"/>
      <c r="AP550" s="61"/>
      <c r="AQ550" s="59" t="str">
        <f>IFERROR(_xlfn.XLOOKUP(Tabla1[[#This Row],[Cedula agente]],Lista!$B$2:$B$97,Lista!$G$2:$G$97)," ")</f>
        <v xml:space="preserve"> </v>
      </c>
      <c r="AR550" s="59"/>
      <c r="AS550" s="55" t="str">
        <f>IFERROR(_xlfn.XLOOKUP(Tabla1[[#This Row],[Cedula agente]],Lista!$B$2:$B$97,Lista!$F$2:$F$97)," ")</f>
        <v xml:space="preserve"> </v>
      </c>
      <c r="AT550" s="99">
        <v>0.95</v>
      </c>
      <c r="AU550" s="200">
        <f>+WEEKNUM('Score BD'!$H550)-WEEKNUM(DATE(YEAR('Score BD'!$H550),MONTH('Score BD'!$H550),1))+1</f>
        <v>0</v>
      </c>
    </row>
    <row r="551" spans="1:47" ht="17.45" customHeight="1" x14ac:dyDescent="0.3">
      <c r="A551" s="49" t="str">
        <f t="shared" si="88"/>
        <v xml:space="preserve"> </v>
      </c>
      <c r="B551" s="50">
        <f>+IFERROR(COUNTIF($J$3:J551,J551)," ")</f>
        <v>0</v>
      </c>
      <c r="C551" s="54" t="str">
        <f>+'Score BD'!$J551&amp;'Score BD'!$B551</f>
        <v>0</v>
      </c>
      <c r="D551" s="91"/>
      <c r="E551" s="92"/>
      <c r="F551" s="92"/>
      <c r="G551" s="60" t="str">
        <f t="shared" si="89"/>
        <v>Enero</v>
      </c>
      <c r="H551" s="67"/>
      <c r="I551" s="156"/>
      <c r="J551" s="58"/>
      <c r="K551" s="54" t="str">
        <f>IFERROR(VLOOKUP('Score BD'!$J551,Lista!A:B,2,0)," ")</f>
        <v xml:space="preserve"> </v>
      </c>
      <c r="L551" s="61"/>
      <c r="M551" s="43"/>
      <c r="N551" s="43"/>
      <c r="O551" s="43"/>
      <c r="P551" s="43"/>
      <c r="Q551" s="96">
        <f t="shared" si="90"/>
        <v>1</v>
      </c>
      <c r="R551" s="43"/>
      <c r="S551" s="43"/>
      <c r="T551" s="43"/>
      <c r="U551" s="43"/>
      <c r="V551" s="45">
        <f t="shared" si="91"/>
        <v>1</v>
      </c>
      <c r="W551" s="43"/>
      <c r="X551" s="43"/>
      <c r="Y551" s="43"/>
      <c r="Z551" s="43"/>
      <c r="AA551" s="43"/>
      <c r="AB551" s="43"/>
      <c r="AC551" s="45">
        <f t="shared" si="92"/>
        <v>1.000000000000002</v>
      </c>
      <c r="AD551" s="43"/>
      <c r="AE551" s="43"/>
      <c r="AF551" s="97">
        <f t="shared" si="93"/>
        <v>1</v>
      </c>
      <c r="AG551" s="44">
        <f t="shared" si="94"/>
        <v>1.0000000000000004</v>
      </c>
      <c r="AH551" s="55">
        <f t="shared" si="95"/>
        <v>0</v>
      </c>
      <c r="AI551" s="55">
        <f>COUNTIF('Score BD'!$M551:$P551,"no")</f>
        <v>0</v>
      </c>
      <c r="AJ551" s="55" t="str">
        <f t="shared" si="96"/>
        <v>-</v>
      </c>
      <c r="AK551" s="55" t="str">
        <f t="shared" si="97"/>
        <v>-</v>
      </c>
      <c r="AL551" s="55" t="str">
        <f t="shared" si="98"/>
        <v>-</v>
      </c>
      <c r="AM551" s="56"/>
      <c r="AN551" s="55"/>
      <c r="AO551" s="61"/>
      <c r="AP551" s="61"/>
      <c r="AQ551" s="59" t="str">
        <f>IFERROR(_xlfn.XLOOKUP(Tabla1[[#This Row],[Cedula agente]],Lista!$B$2:$B$97,Lista!$G$2:$G$97)," ")</f>
        <v xml:space="preserve"> </v>
      </c>
      <c r="AR551" s="59"/>
      <c r="AS551" s="55" t="str">
        <f>IFERROR(_xlfn.XLOOKUP(Tabla1[[#This Row],[Cedula agente]],Lista!$B$2:$B$97,Lista!$F$2:$F$97)," ")</f>
        <v xml:space="preserve"> </v>
      </c>
      <c r="AT551" s="99">
        <v>0.95</v>
      </c>
      <c r="AU551" s="200">
        <f>+WEEKNUM('Score BD'!$H551)-WEEKNUM(DATE(YEAR('Score BD'!$H551),MONTH('Score BD'!$H551),1))+1</f>
        <v>0</v>
      </c>
    </row>
    <row r="552" spans="1:47" ht="17.45" customHeight="1" x14ac:dyDescent="0.3">
      <c r="A552" s="49" t="str">
        <f t="shared" si="88"/>
        <v xml:space="preserve"> </v>
      </c>
      <c r="B552" s="494">
        <f>+IFERROR(COUNTIF($J$3:J553,J552)," ")</f>
        <v>0</v>
      </c>
      <c r="C552" s="54" t="str">
        <f>+'Score BD'!$J552&amp;'Score BD'!$B552</f>
        <v>0</v>
      </c>
      <c r="D552" s="91"/>
      <c r="E552" s="92"/>
      <c r="F552" s="92"/>
      <c r="G552" s="60" t="str">
        <f t="shared" si="89"/>
        <v>Enero</v>
      </c>
      <c r="H552" s="67"/>
      <c r="I552" s="156"/>
      <c r="J552" s="58"/>
      <c r="K552" s="54" t="str">
        <f>IFERROR(VLOOKUP('Score BD'!$J552,Lista!A:B,2,0)," ")</f>
        <v xml:space="preserve"> </v>
      </c>
      <c r="L552" s="61"/>
      <c r="M552" s="43"/>
      <c r="N552" s="43"/>
      <c r="O552" s="43"/>
      <c r="P552" s="43"/>
      <c r="Q552" s="96">
        <f t="shared" si="90"/>
        <v>1</v>
      </c>
      <c r="R552" s="43"/>
      <c r="S552" s="43"/>
      <c r="T552" s="43"/>
      <c r="U552" s="43"/>
      <c r="V552" s="45">
        <f t="shared" si="91"/>
        <v>1</v>
      </c>
      <c r="W552" s="43"/>
      <c r="X552" s="43"/>
      <c r="Y552" s="43"/>
      <c r="Z552" s="43"/>
      <c r="AA552" s="43"/>
      <c r="AB552" s="43"/>
      <c r="AC552" s="45">
        <f t="shared" si="92"/>
        <v>1.000000000000002</v>
      </c>
      <c r="AD552" s="43"/>
      <c r="AE552" s="43"/>
      <c r="AF552" s="97">
        <f t="shared" si="93"/>
        <v>1</v>
      </c>
      <c r="AG552" s="44">
        <f t="shared" si="94"/>
        <v>1.0000000000000004</v>
      </c>
      <c r="AH552" s="55">
        <f t="shared" si="95"/>
        <v>0</v>
      </c>
      <c r="AI552" s="55">
        <f>COUNTIF('Score BD'!$M552:$P552,"no")</f>
        <v>0</v>
      </c>
      <c r="AJ552" s="55" t="str">
        <f t="shared" si="96"/>
        <v>-</v>
      </c>
      <c r="AK552" s="55" t="str">
        <f t="shared" si="97"/>
        <v>-</v>
      </c>
      <c r="AL552" s="55" t="str">
        <f t="shared" si="98"/>
        <v>-</v>
      </c>
      <c r="AM552" s="56"/>
      <c r="AN552" s="55"/>
      <c r="AO552" s="61"/>
      <c r="AP552" s="61"/>
      <c r="AQ552" s="59" t="str">
        <f>IFERROR(_xlfn.XLOOKUP(Tabla1[[#This Row],[Cedula agente]],Lista!$B$2:$B$97,Lista!$G$2:$G$97)," ")</f>
        <v xml:space="preserve"> </v>
      </c>
      <c r="AR552" s="59"/>
      <c r="AS552" s="55" t="str">
        <f>IFERROR(_xlfn.XLOOKUP(Tabla1[[#This Row],[Cedula agente]],Lista!$B$2:$B$97,Lista!$F$2:$F$97)," ")</f>
        <v xml:space="preserve"> </v>
      </c>
      <c r="AT552" s="99">
        <v>0.95</v>
      </c>
      <c r="AU552" s="200">
        <f>+WEEKNUM('Score BD'!$H552)-WEEKNUM(DATE(YEAR('Score BD'!$H552),MONTH('Score BD'!$H552),1))+1</f>
        <v>0</v>
      </c>
    </row>
    <row r="553" spans="1:47" ht="21.75" customHeight="1" x14ac:dyDescent="0.3">
      <c r="A553" s="495" t="str">
        <f>+IF(B553&gt;0,"Ministerio de Educación Nacional"," ")</f>
        <v xml:space="preserve"> </v>
      </c>
      <c r="B553" s="496">
        <f>+IFERROR(COUNTIF($J$3:J553,J553)," ")</f>
        <v>0</v>
      </c>
      <c r="C553" s="497" t="str">
        <f>+'Score BD'!$J553&amp;'Score BD'!$B553</f>
        <v>0</v>
      </c>
      <c r="D553" s="498"/>
      <c r="E553" s="499"/>
      <c r="F553" s="500"/>
      <c r="G553" s="497" t="str">
        <f>+PROPER(TEXT(H553,"mmmm"))</f>
        <v>Enero</v>
      </c>
      <c r="H553" s="501"/>
      <c r="I553" s="502"/>
      <c r="J553" s="503"/>
      <c r="K553" s="504" t="str">
        <f>IFERROR(VLOOKUP('Score BD'!$J553,Lista!A:B,2,0)," ")</f>
        <v xml:space="preserve"> </v>
      </c>
      <c r="L553" s="505"/>
      <c r="M553" s="506"/>
      <c r="N553" s="506"/>
      <c r="O553" s="506"/>
      <c r="P553" s="506"/>
      <c r="Q553" s="507">
        <f>+IF(M553="NO",0,25%)+IF(N553="NO",0,25%)+IF(O553="NO",0,25%)+IF(P553="NO",0,25%)</f>
        <v>1</v>
      </c>
      <c r="R553" s="508"/>
      <c r="S553" s="506"/>
      <c r="T553" s="506"/>
      <c r="U553" s="506"/>
      <c r="V553" s="509">
        <f>+IF(R553="NO",0,25%)+IF(S553="NO",0,25%)+IF(T553="NO",0,25%)+IF(U553="NO",0,25%)</f>
        <v>1</v>
      </c>
      <c r="W553" s="506"/>
      <c r="X553" s="508"/>
      <c r="Y553" s="508"/>
      <c r="Z553" s="508"/>
      <c r="AA553" s="506"/>
      <c r="AB553" s="506"/>
      <c r="AC553" s="509">
        <f>+IF(W553="NO",0%,16.6666666666667%)+IF(X553="NO",0%,16.6666666666667%)+IF(Y553="NO",0%,16.6666666666667%)+IF(Z553="NO",0%,16.6666666666667%)+IF(AA553="NO",0%,16.6666666666667%)+IF(AB553="NO",0%,16.6666666666667%)</f>
        <v>1.000000000000002</v>
      </c>
      <c r="AD553" s="506"/>
      <c r="AE553" s="506"/>
      <c r="AF553" s="510">
        <f>+IF(AD553="NO",0%,50%)+IF(AE553="NO",0%,50%)</f>
        <v>1</v>
      </c>
      <c r="AG553" s="511">
        <f>AVERAGE(AF553,AC553,V553,Q553)</f>
        <v>1.0000000000000004</v>
      </c>
      <c r="AH553" s="512">
        <f>+COUNTIF(W553:AB553,"no")+COUNTIF(R553:U553,"no")+COUNTIF(AD553:AE553,"no")</f>
        <v>0</v>
      </c>
      <c r="AI553" s="513">
        <f>COUNTIF('Score BD'!$M553:$P553,"no")</f>
        <v>0</v>
      </c>
      <c r="AJ553" s="513" t="str">
        <f>+IF(COUNTA(R553:U553)=0,"-",COUNTIF(R553:U553,"NO"))</f>
        <v>-</v>
      </c>
      <c r="AK553" s="513" t="str">
        <f>+IF(COUNTA(W553:AB553)=0,"-",COUNTIF(W553:AB553,"NO"))</f>
        <v>-</v>
      </c>
      <c r="AL553" s="514" t="str">
        <f>+IF(COUNTA(AD553:AE553)=0,"-",COUNTIF(AD553:AE553,"NO"))</f>
        <v>-</v>
      </c>
      <c r="AM553" s="515"/>
      <c r="AN553" s="512"/>
      <c r="AO553" s="497"/>
      <c r="AP553" s="497"/>
      <c r="AQ553" s="512" t="str">
        <f>IFERROR(_xlfn.XLOOKUP(Tabla1[[#This Row],[Cedula agente]],Lista!$B$2:$B$97,Lista!$G$2:$G$97)," ")</f>
        <v xml:space="preserve"> </v>
      </c>
      <c r="AR553" s="513"/>
      <c r="AS553" s="516" t="str">
        <f>IFERROR(_xlfn.XLOOKUP(Tabla1[[#This Row],[Cedula agente]],Lista!$B$2:$B$97,Lista!$F$2:$F$97)," ")</f>
        <v xml:space="preserve"> </v>
      </c>
      <c r="AT553" s="517"/>
      <c r="AU553" s="518">
        <f>+WEEKNUM('Score BD'!$H553)-WEEKNUM(DATE(YEAR('Score BD'!$H553),MONTH('Score BD'!$H553),1))+1</f>
        <v>0</v>
      </c>
    </row>
    <row r="554" spans="1:47" ht="21.75" customHeight="1" x14ac:dyDescent="0.3">
      <c r="A554" s="53" t="str">
        <f t="shared" ref="A554:A557" si="99">+IF(B554&gt;0,"Fiscalía"," ")</f>
        <v xml:space="preserve"> </v>
      </c>
    </row>
    <row r="555" spans="1:47" ht="21.75" customHeight="1" x14ac:dyDescent="0.3">
      <c r="A555" s="53" t="str">
        <f t="shared" si="99"/>
        <v xml:space="preserve"> </v>
      </c>
    </row>
    <row r="556" spans="1:47" ht="21.75" customHeight="1" x14ac:dyDescent="0.3">
      <c r="A556" s="53" t="str">
        <f t="shared" si="99"/>
        <v xml:space="preserve"> </v>
      </c>
    </row>
    <row r="557" spans="1:47" ht="21.75" customHeight="1" x14ac:dyDescent="0.3">
      <c r="A557" s="53" t="str">
        <f t="shared" si="99"/>
        <v xml:space="preserve"> </v>
      </c>
    </row>
  </sheetData>
  <mergeCells count="5">
    <mergeCell ref="M1:Q1"/>
    <mergeCell ref="W1:AB1"/>
    <mergeCell ref="AD1:AF1"/>
    <mergeCell ref="R1:V1"/>
    <mergeCell ref="A1:L1"/>
  </mergeCells>
  <conditionalFormatting sqref="AG3:AG553">
    <cfRule type="colorScale" priority="4">
      <colorScale>
        <cfvo type="min"/>
        <cfvo type="percentile" val="50"/>
        <cfvo type="max"/>
        <color rgb="FFF8696B"/>
        <color rgb="FFFFEB84"/>
        <color rgb="FF63BE7B"/>
      </colorScale>
    </cfRule>
  </conditionalFormatting>
  <conditionalFormatting sqref="AM369:AM497 AS553:AT553 L553:P553 J553 R553:AE553 AM553:AP553">
    <cfRule type="expression" dxfId="584" priority="1">
      <formula>AND($AR369="NUEVO",$B369&lt;=4)</formula>
    </cfRule>
  </conditionalFormatting>
  <conditionalFormatting sqref="AM3:AP6 L4:L10 AO7 AM7:AN9 AP7:AP9 L12:L22 L25">
    <cfRule type="expression" dxfId="583" priority="2176">
      <formula>AND($AR3="NUEVO",$B3&lt;=4)</formula>
    </cfRule>
  </conditionalFormatting>
  <conditionalFormatting sqref="AN389:AP389">
    <cfRule type="expression" dxfId="582" priority="2">
      <formula>AND($AR389="NUEVO",$B389&lt;=4)</formula>
    </cfRule>
  </conditionalFormatting>
  <conditionalFormatting sqref="AO9">
    <cfRule type="expression" dxfId="581" priority="2198">
      <formula>AND($AR8="NUEVO",$B8&lt;=4)</formula>
    </cfRule>
  </conditionalFormatting>
  <conditionalFormatting sqref="AT3:AT127 AM3:AM137 M3:P325 AS8:AS127 AM10:AP388 L26:P44 L41:L127 L128:P128 AS128:AT552 L129:L172 L138:P363 AP389 L448:P552 J3:J553 M363:P447 R3:AE553 AM364:AM447 AM390:AP552 L348:L491">
    <cfRule type="expression" dxfId="580" priority="3">
      <formula>AND($AR3="NUEVO",$B3&lt;=4)</formula>
    </cfRule>
  </conditionalFormatting>
  <dataValidations count="1">
    <dataValidation type="list" allowBlank="1" showInputMessage="1" showErrorMessage="1" sqref="M3:P553 R3:U553 W3:AB553 AD3:AE553" xr:uid="{00000000-0002-0000-0100-000000000000}">
      <formula1>"SI,NO,N/A"</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6363CDBE-AE76-4259-8988-3BE7D6AC3E01}">
          <x14:formula1>
            <xm:f>Lista!$Q$2:$Q$5</xm:f>
          </x14:formula1>
          <xm:sqref>F3:F553</xm:sqref>
        </x14:dataValidation>
        <x14:dataValidation type="list" allowBlank="1" showInputMessage="1" showErrorMessage="1" xr:uid="{00000000-0002-0000-0100-000004000000}">
          <x14:formula1>
            <xm:f>Lista!$S$2:$S$3</xm:f>
          </x14:formula1>
          <xm:sqref>AR3:AR553</xm:sqref>
        </x14:dataValidation>
        <x14:dataValidation type="list" allowBlank="1" showInputMessage="1" showErrorMessage="1" xr:uid="{00000000-0002-0000-0100-000005000000}">
          <x14:formula1>
            <xm:f>Lista!$T$2:$T$8</xm:f>
          </x14:formula1>
          <xm:sqref>E3:E553</xm:sqref>
        </x14:dataValidation>
        <x14:dataValidation type="list" allowBlank="1" showInputMessage="1" showErrorMessage="1" xr:uid="{00000000-0002-0000-0100-000006000000}">
          <x14:formula1>
            <xm:f>Lista!$P$2:$P$4</xm:f>
          </x14:formula1>
          <xm:sqref>D3:D553</xm:sqref>
        </x14:dataValidation>
        <x14:dataValidation type="list" allowBlank="1" showInputMessage="1" showErrorMessage="1" xr:uid="{00000000-0002-0000-0100-000007000000}">
          <x14:formula1>
            <xm:f>Lista!$A$2:$A$20</xm:f>
          </x14:formula1>
          <xm:sqref>J2:J111 J134:J1048576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zoomScaleNormal="100" workbookViewId="0">
      <selection activeCell="C10" sqref="C10"/>
    </sheetView>
  </sheetViews>
  <sheetFormatPr baseColWidth="10" defaultColWidth="11.42578125" defaultRowHeight="15" x14ac:dyDescent="0.25"/>
  <cols>
    <col min="1" max="1" width="16" style="35" customWidth="1"/>
    <col min="2" max="2" width="9.28515625" style="35" customWidth="1"/>
    <col min="3" max="3" width="38.7109375" style="35" customWidth="1"/>
    <col min="4" max="4" width="10.7109375" style="218" customWidth="1"/>
    <col min="5" max="5" width="108.85546875" style="35" customWidth="1"/>
    <col min="6" max="6" width="11.42578125" style="35"/>
    <col min="7" max="7" width="23.42578125" style="35" customWidth="1"/>
    <col min="8" max="16384" width="11.42578125" style="35"/>
  </cols>
  <sheetData>
    <row r="1" spans="1:7" ht="19.5" thickBot="1" x14ac:dyDescent="0.3">
      <c r="A1" s="269" t="s">
        <v>142</v>
      </c>
      <c r="B1" s="270"/>
      <c r="C1" s="270"/>
      <c r="D1" s="270"/>
      <c r="E1" s="271"/>
    </row>
    <row r="2" spans="1:7" ht="30.75" thickBot="1" x14ac:dyDescent="0.3">
      <c r="A2" s="107" t="s">
        <v>82</v>
      </c>
      <c r="B2" s="107" t="s">
        <v>143</v>
      </c>
      <c r="C2" s="108" t="s">
        <v>83</v>
      </c>
      <c r="D2" s="109" t="s">
        <v>84</v>
      </c>
      <c r="E2" s="108" t="s">
        <v>85</v>
      </c>
    </row>
    <row r="3" spans="1:7" ht="60" x14ac:dyDescent="0.25">
      <c r="A3" s="276" t="s">
        <v>103</v>
      </c>
      <c r="B3" s="83">
        <v>1</v>
      </c>
      <c r="C3" s="76" t="s">
        <v>112</v>
      </c>
      <c r="D3" s="213">
        <v>0.25</v>
      </c>
      <c r="E3" s="80" t="s">
        <v>113</v>
      </c>
    </row>
    <row r="4" spans="1:7" ht="36" x14ac:dyDescent="0.25">
      <c r="A4" s="276"/>
      <c r="B4" s="83">
        <v>2</v>
      </c>
      <c r="C4" s="76" t="s">
        <v>114</v>
      </c>
      <c r="D4" s="213">
        <v>0.25</v>
      </c>
      <c r="E4" s="80" t="s">
        <v>200</v>
      </c>
    </row>
    <row r="5" spans="1:7" ht="60" x14ac:dyDescent="0.25">
      <c r="A5" s="276"/>
      <c r="B5" s="83">
        <v>3</v>
      </c>
      <c r="C5" s="76" t="s">
        <v>115</v>
      </c>
      <c r="D5" s="213">
        <v>0.25</v>
      </c>
      <c r="E5" s="80" t="s">
        <v>116</v>
      </c>
    </row>
    <row r="6" spans="1:7" ht="48.75" thickBot="1" x14ac:dyDescent="0.3">
      <c r="A6" s="276"/>
      <c r="B6" s="83">
        <v>4</v>
      </c>
      <c r="C6" s="76" t="s">
        <v>96</v>
      </c>
      <c r="D6" s="213">
        <v>0.25</v>
      </c>
      <c r="E6" s="80" t="s">
        <v>117</v>
      </c>
    </row>
    <row r="7" spans="1:7" ht="36" x14ac:dyDescent="0.25">
      <c r="A7" s="277" t="s">
        <v>86</v>
      </c>
      <c r="B7" s="84">
        <v>5</v>
      </c>
      <c r="C7" s="75" t="s">
        <v>97</v>
      </c>
      <c r="D7" s="214">
        <v>0.25</v>
      </c>
      <c r="E7" s="79" t="s">
        <v>130</v>
      </c>
    </row>
    <row r="8" spans="1:7" ht="84" x14ac:dyDescent="0.25">
      <c r="A8" s="278"/>
      <c r="B8" s="85">
        <v>6</v>
      </c>
      <c r="C8" s="76" t="s">
        <v>131</v>
      </c>
      <c r="D8" s="213">
        <v>0.25</v>
      </c>
      <c r="E8" s="80" t="s">
        <v>132</v>
      </c>
    </row>
    <row r="9" spans="1:7" ht="48" x14ac:dyDescent="0.25">
      <c r="A9" s="278"/>
      <c r="B9" s="85">
        <v>7</v>
      </c>
      <c r="C9" s="76" t="s">
        <v>133</v>
      </c>
      <c r="D9" s="213">
        <v>0.25</v>
      </c>
      <c r="E9" s="80" t="s">
        <v>134</v>
      </c>
      <c r="G9" s="86"/>
    </row>
    <row r="10" spans="1:7" ht="36.75" thickBot="1" x14ac:dyDescent="0.3">
      <c r="A10" s="279"/>
      <c r="B10" s="87">
        <v>8</v>
      </c>
      <c r="C10" s="77" t="s">
        <v>95</v>
      </c>
      <c r="D10" s="215">
        <v>0.25</v>
      </c>
      <c r="E10" s="81" t="s">
        <v>135</v>
      </c>
      <c r="F10" s="272"/>
      <c r="G10" s="273"/>
    </row>
    <row r="11" spans="1:7" ht="48" x14ac:dyDescent="0.25">
      <c r="A11" s="274" t="s">
        <v>98</v>
      </c>
      <c r="B11" s="88">
        <v>9</v>
      </c>
      <c r="C11" s="89" t="s">
        <v>118</v>
      </c>
      <c r="D11" s="216">
        <v>0.1666</v>
      </c>
      <c r="E11" s="90" t="s">
        <v>119</v>
      </c>
    </row>
    <row r="12" spans="1:7" ht="36" x14ac:dyDescent="0.25">
      <c r="A12" s="274"/>
      <c r="B12" s="83">
        <v>10</v>
      </c>
      <c r="C12" s="78" t="s">
        <v>120</v>
      </c>
      <c r="D12" s="217">
        <v>0.1666</v>
      </c>
      <c r="E12" s="80" t="s">
        <v>121</v>
      </c>
    </row>
    <row r="13" spans="1:7" ht="24" x14ac:dyDescent="0.25">
      <c r="A13" s="274"/>
      <c r="B13" s="83">
        <v>11</v>
      </c>
      <c r="C13" s="78" t="s">
        <v>122</v>
      </c>
      <c r="D13" s="217">
        <v>0.1666</v>
      </c>
      <c r="E13" s="80" t="s">
        <v>123</v>
      </c>
    </row>
    <row r="14" spans="1:7" ht="30" x14ac:dyDescent="0.25">
      <c r="A14" s="274"/>
      <c r="B14" s="83">
        <v>12</v>
      </c>
      <c r="C14" s="78" t="s">
        <v>124</v>
      </c>
      <c r="D14" s="217">
        <v>0.1666</v>
      </c>
      <c r="E14" s="80" t="s">
        <v>125</v>
      </c>
    </row>
    <row r="15" spans="1:7" ht="24" x14ac:dyDescent="0.25">
      <c r="A15" s="274"/>
      <c r="B15" s="83">
        <v>13</v>
      </c>
      <c r="C15" s="78" t="s">
        <v>126</v>
      </c>
      <c r="D15" s="217">
        <v>0.1666</v>
      </c>
      <c r="E15" s="80" t="s">
        <v>127</v>
      </c>
    </row>
    <row r="16" spans="1:7" ht="30.75" thickBot="1" x14ac:dyDescent="0.3">
      <c r="A16" s="274"/>
      <c r="B16" s="83">
        <v>14</v>
      </c>
      <c r="C16" s="78" t="s">
        <v>128</v>
      </c>
      <c r="D16" s="217">
        <v>0.1666</v>
      </c>
      <c r="E16" s="80" t="s">
        <v>129</v>
      </c>
    </row>
    <row r="17" spans="1:5" ht="48" x14ac:dyDescent="0.25">
      <c r="A17" s="275" t="s">
        <v>100</v>
      </c>
      <c r="B17" s="82">
        <v>15</v>
      </c>
      <c r="C17" s="75" t="s">
        <v>136</v>
      </c>
      <c r="D17" s="214">
        <v>0.5</v>
      </c>
      <c r="E17" s="79" t="s">
        <v>137</v>
      </c>
    </row>
    <row r="18" spans="1:5" ht="36" x14ac:dyDescent="0.25">
      <c r="A18" s="276"/>
      <c r="B18" s="83">
        <v>16</v>
      </c>
      <c r="C18" s="76" t="s">
        <v>138</v>
      </c>
      <c r="D18" s="217">
        <v>0.5</v>
      </c>
      <c r="E18" s="80" t="s">
        <v>139</v>
      </c>
    </row>
  </sheetData>
  <mergeCells count="6">
    <mergeCell ref="A1:E1"/>
    <mergeCell ref="F10:G10"/>
    <mergeCell ref="A11:A16"/>
    <mergeCell ref="A17:A18"/>
    <mergeCell ref="A3:A6"/>
    <mergeCell ref="A7: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MK179"/>
  <sheetViews>
    <sheetView showGridLines="0" topLeftCell="A4" zoomScaleNormal="100" workbookViewId="0">
      <selection activeCell="AS28" sqref="AS28"/>
    </sheetView>
  </sheetViews>
  <sheetFormatPr baseColWidth="10" defaultColWidth="9.140625" defaultRowHeight="15" x14ac:dyDescent="0.25"/>
  <cols>
    <col min="1" max="1" width="2.42578125" style="5" customWidth="1"/>
    <col min="2" max="6" width="5.140625" style="5" customWidth="1"/>
    <col min="7" max="10" width="5.42578125" style="5" customWidth="1"/>
    <col min="11" max="13" width="3" style="5" customWidth="1"/>
    <col min="14" max="14" width="4.28515625" style="5" customWidth="1"/>
    <col min="15" max="15" width="3" style="5" customWidth="1"/>
    <col min="16" max="18" width="5" style="5" customWidth="1"/>
    <col min="19" max="23" width="3" style="5" customWidth="1"/>
    <col min="24" max="24" width="8.5703125" style="5" customWidth="1"/>
    <col min="25" max="1025" width="3" style="5" customWidth="1"/>
    <col min="1026" max="16384" width="9.140625" style="1"/>
  </cols>
  <sheetData>
    <row r="2" spans="1:1025" ht="11.25" customHeight="1" x14ac:dyDescent="0.25">
      <c r="B2" s="24"/>
      <c r="C2" s="25"/>
      <c r="D2" s="25"/>
      <c r="E2" s="25"/>
      <c r="F2" s="25"/>
      <c r="G2" s="25"/>
      <c r="H2" s="26"/>
      <c r="I2" s="285" t="s">
        <v>6</v>
      </c>
      <c r="J2" s="285"/>
      <c r="K2" s="285"/>
      <c r="L2" s="285"/>
      <c r="M2" s="285"/>
      <c r="N2" s="285"/>
      <c r="O2" s="285"/>
      <c r="P2" s="285"/>
      <c r="Q2" s="285"/>
      <c r="R2" s="285"/>
      <c r="S2" s="285"/>
      <c r="T2" s="285"/>
      <c r="U2" s="285"/>
      <c r="V2" s="285"/>
      <c r="W2" s="285"/>
      <c r="X2" s="285"/>
      <c r="Y2" s="285"/>
      <c r="Z2" s="285"/>
      <c r="AA2" s="285"/>
      <c r="AB2" s="285"/>
      <c r="AC2" s="285"/>
      <c r="AD2" s="285"/>
      <c r="AE2" s="285"/>
      <c r="AF2" s="286" t="s">
        <v>7</v>
      </c>
      <c r="AG2" s="287"/>
      <c r="AH2" s="287"/>
      <c r="AI2" s="287"/>
      <c r="AJ2" s="288"/>
      <c r="AK2" s="286" t="s">
        <v>8</v>
      </c>
      <c r="AL2" s="287"/>
      <c r="AM2" s="287"/>
      <c r="AN2" s="287"/>
      <c r="AO2" s="288"/>
    </row>
    <row r="3" spans="1:1025" x14ac:dyDescent="0.25">
      <c r="B3" s="27"/>
      <c r="C3" s="28"/>
      <c r="D3" s="28"/>
      <c r="E3" s="28"/>
      <c r="F3" s="28"/>
      <c r="G3" s="28"/>
      <c r="H3" s="29"/>
      <c r="I3" s="285"/>
      <c r="J3" s="285"/>
      <c r="K3" s="285"/>
      <c r="L3" s="285"/>
      <c r="M3" s="285"/>
      <c r="N3" s="285"/>
      <c r="O3" s="285"/>
      <c r="P3" s="285"/>
      <c r="Q3" s="285"/>
      <c r="R3" s="285"/>
      <c r="S3" s="285"/>
      <c r="T3" s="285"/>
      <c r="U3" s="285"/>
      <c r="V3" s="285"/>
      <c r="W3" s="285"/>
      <c r="X3" s="285"/>
      <c r="Y3" s="285"/>
      <c r="Z3" s="285"/>
      <c r="AA3" s="285"/>
      <c r="AB3" s="285"/>
      <c r="AC3" s="285"/>
      <c r="AD3" s="285"/>
      <c r="AE3" s="285"/>
      <c r="AF3" s="289"/>
      <c r="AG3" s="290"/>
      <c r="AH3" s="290"/>
      <c r="AI3" s="290"/>
      <c r="AJ3" s="291"/>
      <c r="AK3" s="289"/>
      <c r="AL3" s="290"/>
      <c r="AM3" s="290"/>
      <c r="AN3" s="290"/>
      <c r="AO3" s="291"/>
    </row>
    <row r="4" spans="1:1025" x14ac:dyDescent="0.25">
      <c r="B4" s="27"/>
      <c r="C4" s="28"/>
      <c r="D4" s="28"/>
      <c r="E4" s="28"/>
      <c r="F4" s="28"/>
      <c r="G4" s="28"/>
      <c r="H4" s="29"/>
      <c r="I4" s="285"/>
      <c r="J4" s="285"/>
      <c r="K4" s="285"/>
      <c r="L4" s="285"/>
      <c r="M4" s="285"/>
      <c r="N4" s="285"/>
      <c r="O4" s="285"/>
      <c r="P4" s="285"/>
      <c r="Q4" s="285"/>
      <c r="R4" s="285"/>
      <c r="S4" s="285"/>
      <c r="T4" s="285"/>
      <c r="U4" s="285"/>
      <c r="V4" s="285"/>
      <c r="W4" s="285"/>
      <c r="X4" s="285"/>
      <c r="Y4" s="285"/>
      <c r="Z4" s="285"/>
      <c r="AA4" s="285"/>
      <c r="AB4" s="285"/>
      <c r="AC4" s="285"/>
      <c r="AD4" s="285"/>
      <c r="AE4" s="285"/>
      <c r="AF4" s="286" t="s">
        <v>9</v>
      </c>
      <c r="AG4" s="287"/>
      <c r="AH4" s="287"/>
      <c r="AI4" s="287"/>
      <c r="AJ4" s="288"/>
      <c r="AK4" s="292" t="s">
        <v>92</v>
      </c>
      <c r="AL4" s="292"/>
      <c r="AM4" s="292"/>
      <c r="AN4" s="292"/>
      <c r="AO4" s="292"/>
    </row>
    <row r="5" spans="1:1025" x14ac:dyDescent="0.25">
      <c r="B5" s="27"/>
      <c r="C5" s="28"/>
      <c r="D5" s="28"/>
      <c r="E5" s="28"/>
      <c r="F5" s="28"/>
      <c r="G5" s="28"/>
      <c r="H5" s="29"/>
      <c r="I5" s="285"/>
      <c r="J5" s="285"/>
      <c r="K5" s="285"/>
      <c r="L5" s="285"/>
      <c r="M5" s="285"/>
      <c r="N5" s="285"/>
      <c r="O5" s="285"/>
      <c r="P5" s="285"/>
      <c r="Q5" s="285"/>
      <c r="R5" s="285"/>
      <c r="S5" s="285"/>
      <c r="T5" s="285"/>
      <c r="U5" s="285"/>
      <c r="V5" s="285"/>
      <c r="W5" s="285"/>
      <c r="X5" s="285"/>
      <c r="Y5" s="285"/>
      <c r="Z5" s="285"/>
      <c r="AA5" s="285"/>
      <c r="AB5" s="285"/>
      <c r="AC5" s="285"/>
      <c r="AD5" s="285"/>
      <c r="AE5" s="285"/>
      <c r="AF5" s="289"/>
      <c r="AG5" s="290"/>
      <c r="AH5" s="290"/>
      <c r="AI5" s="290"/>
      <c r="AJ5" s="291"/>
      <c r="AK5" s="292"/>
      <c r="AL5" s="292"/>
      <c r="AM5" s="292"/>
      <c r="AN5" s="292"/>
      <c r="AO5" s="292"/>
    </row>
    <row r="6" spans="1:1025" x14ac:dyDescent="0.25">
      <c r="B6" s="27"/>
      <c r="C6" s="28"/>
      <c r="D6" s="28"/>
      <c r="E6" s="28"/>
      <c r="F6" s="28"/>
      <c r="G6" s="28"/>
      <c r="H6" s="29"/>
      <c r="I6" s="285"/>
      <c r="J6" s="285"/>
      <c r="K6" s="285"/>
      <c r="L6" s="285"/>
      <c r="M6" s="285"/>
      <c r="N6" s="285"/>
      <c r="O6" s="285"/>
      <c r="P6" s="285"/>
      <c r="Q6" s="285"/>
      <c r="R6" s="285"/>
      <c r="S6" s="285"/>
      <c r="T6" s="285"/>
      <c r="U6" s="285"/>
      <c r="V6" s="285"/>
      <c r="W6" s="285"/>
      <c r="X6" s="285"/>
      <c r="Y6" s="285"/>
      <c r="Z6" s="285"/>
      <c r="AA6" s="285"/>
      <c r="AB6" s="285"/>
      <c r="AC6" s="285"/>
      <c r="AD6" s="285"/>
      <c r="AE6" s="285"/>
      <c r="AF6" s="293" t="s">
        <v>10</v>
      </c>
      <c r="AG6" s="293"/>
      <c r="AH6" s="293"/>
      <c r="AI6" s="293"/>
      <c r="AJ6" s="293"/>
      <c r="AK6" s="294">
        <v>45349</v>
      </c>
      <c r="AL6" s="287"/>
      <c r="AM6" s="287"/>
      <c r="AN6" s="287"/>
      <c r="AO6" s="288"/>
    </row>
    <row r="7" spans="1:1025" x14ac:dyDescent="0.25">
      <c r="B7" s="30"/>
      <c r="C7" s="31"/>
      <c r="D7" s="31"/>
      <c r="E7" s="31"/>
      <c r="F7" s="31"/>
      <c r="G7" s="31"/>
      <c r="H7" s="32"/>
      <c r="I7" s="285"/>
      <c r="J7" s="285"/>
      <c r="K7" s="285"/>
      <c r="L7" s="285"/>
      <c r="M7" s="285"/>
      <c r="N7" s="285"/>
      <c r="O7" s="285"/>
      <c r="P7" s="285"/>
      <c r="Q7" s="285"/>
      <c r="R7" s="285"/>
      <c r="S7" s="285"/>
      <c r="T7" s="285"/>
      <c r="U7" s="285"/>
      <c r="V7" s="285"/>
      <c r="W7" s="285"/>
      <c r="X7" s="285"/>
      <c r="Y7" s="285"/>
      <c r="Z7" s="285"/>
      <c r="AA7" s="285"/>
      <c r="AB7" s="285"/>
      <c r="AC7" s="285"/>
      <c r="AD7" s="285"/>
      <c r="AE7" s="285"/>
      <c r="AF7" s="293"/>
      <c r="AG7" s="293"/>
      <c r="AH7" s="293"/>
      <c r="AI7" s="293"/>
      <c r="AJ7" s="293"/>
      <c r="AK7" s="289"/>
      <c r="AL7" s="290"/>
      <c r="AM7" s="290"/>
      <c r="AN7" s="290"/>
      <c r="AO7" s="291"/>
    </row>
    <row r="8" spans="1:1025" x14ac:dyDescent="0.25">
      <c r="B8" s="2"/>
      <c r="C8" s="3"/>
      <c r="D8" s="3"/>
      <c r="E8" s="3"/>
      <c r="F8" s="3"/>
      <c r="G8" s="3"/>
      <c r="H8" s="3"/>
      <c r="I8" s="6"/>
      <c r="J8" s="6"/>
      <c r="K8" s="6"/>
      <c r="L8" s="6"/>
      <c r="M8" s="6"/>
      <c r="N8" s="6"/>
      <c r="O8" s="6"/>
      <c r="P8" s="6"/>
      <c r="Q8" s="6"/>
      <c r="R8" s="6"/>
      <c r="S8" s="6"/>
      <c r="T8" s="6"/>
      <c r="U8" s="6"/>
      <c r="V8" s="6"/>
      <c r="W8" s="6"/>
      <c r="X8" s="6"/>
      <c r="Y8" s="6"/>
      <c r="Z8" s="6"/>
      <c r="AA8" s="6"/>
      <c r="AB8" s="6"/>
      <c r="AC8" s="6"/>
      <c r="AD8" s="6"/>
      <c r="AE8" s="6"/>
      <c r="AF8" s="3"/>
      <c r="AG8" s="3"/>
      <c r="AH8" s="3"/>
      <c r="AI8" s="3"/>
      <c r="AJ8" s="3"/>
      <c r="AK8" s="3"/>
      <c r="AL8" s="3"/>
      <c r="AM8" s="3"/>
      <c r="AN8" s="3"/>
      <c r="AO8" s="7"/>
    </row>
    <row r="9" spans="1:1025" ht="11.25" customHeight="1" x14ac:dyDescent="0.25">
      <c r="B9" s="280" t="s">
        <v>11</v>
      </c>
      <c r="C9" s="280"/>
      <c r="D9" s="280"/>
      <c r="E9" s="280"/>
      <c r="F9" s="280"/>
      <c r="G9" s="280"/>
      <c r="H9" s="280"/>
      <c r="I9" s="280"/>
      <c r="J9" s="280"/>
      <c r="K9" s="280"/>
      <c r="L9" s="280"/>
      <c r="M9" s="280"/>
      <c r="N9" s="8"/>
      <c r="O9" s="281" t="s">
        <v>12</v>
      </c>
      <c r="P9" s="281"/>
      <c r="Q9" s="281"/>
      <c r="R9" s="281"/>
      <c r="S9" s="281"/>
      <c r="T9" s="281"/>
      <c r="U9" s="281"/>
      <c r="V9" s="281"/>
      <c r="W9" s="281"/>
      <c r="X9" s="8"/>
      <c r="Y9" s="169" t="s">
        <v>94</v>
      </c>
      <c r="Z9" s="8"/>
      <c r="AA9" s="8"/>
      <c r="AB9" s="281" t="s">
        <v>13</v>
      </c>
      <c r="AC9" s="281"/>
      <c r="AD9" s="281"/>
      <c r="AE9" s="281"/>
      <c r="AF9" s="281"/>
      <c r="AG9" s="281"/>
      <c r="AH9" s="281"/>
      <c r="AI9" s="8"/>
      <c r="AJ9" s="8"/>
      <c r="AK9" s="19"/>
      <c r="AL9" s="8"/>
      <c r="AM9" s="8"/>
      <c r="AN9" s="8"/>
      <c r="AO9" s="9"/>
    </row>
    <row r="10" spans="1:1025" x14ac:dyDescent="0.25">
      <c r="B10" s="10"/>
      <c r="AO10" s="11"/>
    </row>
    <row r="11" spans="1:1025" x14ac:dyDescent="0.25">
      <c r="B11" s="10"/>
      <c r="AO11" s="11"/>
    </row>
    <row r="12" spans="1:1025" s="151" customFormat="1" ht="21.75" customHeight="1" x14ac:dyDescent="0.25">
      <c r="A12" s="150"/>
      <c r="B12" s="282" t="s">
        <v>14</v>
      </c>
      <c r="C12" s="282"/>
      <c r="D12" s="282"/>
      <c r="E12" s="282"/>
      <c r="F12" s="282"/>
      <c r="G12" s="282"/>
      <c r="H12" s="282"/>
      <c r="I12" s="282"/>
      <c r="J12" s="282"/>
      <c r="K12" s="282"/>
      <c r="L12" s="282"/>
      <c r="M12" s="282"/>
      <c r="N12" s="283" t="s">
        <v>15</v>
      </c>
      <c r="O12" s="283"/>
      <c r="P12" s="283"/>
      <c r="Q12" s="150"/>
      <c r="R12" s="282" t="s">
        <v>16</v>
      </c>
      <c r="S12" s="282"/>
      <c r="T12" s="282"/>
      <c r="U12" s="282"/>
      <c r="V12" s="282"/>
      <c r="W12" s="282"/>
      <c r="X12" s="282"/>
      <c r="Y12" s="282"/>
      <c r="Z12" s="282"/>
      <c r="AA12" s="282"/>
      <c r="AB12" s="284" t="s">
        <v>156</v>
      </c>
      <c r="AC12" s="284"/>
      <c r="AD12" s="284"/>
      <c r="AE12" s="284"/>
      <c r="AF12" s="284"/>
      <c r="AG12" s="284"/>
      <c r="AH12" s="284"/>
      <c r="AI12" s="284"/>
      <c r="AJ12" s="284"/>
      <c r="AK12" s="284"/>
      <c r="AL12" s="284"/>
      <c r="AM12" s="284"/>
      <c r="AN12" s="284"/>
      <c r="AO12" s="284"/>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50"/>
      <c r="ED12" s="150"/>
      <c r="EE12" s="150"/>
      <c r="EF12" s="150"/>
      <c r="EG12" s="150"/>
      <c r="EH12" s="150"/>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50"/>
      <c r="FM12" s="150"/>
      <c r="FN12" s="150"/>
      <c r="FO12" s="150"/>
      <c r="FP12" s="150"/>
      <c r="FQ12" s="150"/>
      <c r="FR12" s="150"/>
      <c r="FS12" s="150"/>
      <c r="FT12" s="150"/>
      <c r="FU12" s="150"/>
      <c r="FV12" s="150"/>
      <c r="FW12" s="150"/>
      <c r="FX12" s="150"/>
      <c r="FY12" s="150"/>
      <c r="FZ12" s="150"/>
      <c r="GA12" s="150"/>
      <c r="GB12" s="150"/>
      <c r="GC12" s="150"/>
      <c r="GD12" s="150"/>
      <c r="GE12" s="150"/>
      <c r="GF12" s="150"/>
      <c r="GG12" s="150"/>
      <c r="GH12" s="150"/>
      <c r="GI12" s="150"/>
      <c r="GJ12" s="150"/>
      <c r="GK12" s="150"/>
      <c r="GL12" s="150"/>
      <c r="GM12" s="150"/>
      <c r="GN12" s="150"/>
      <c r="GO12" s="150"/>
      <c r="GP12" s="150"/>
      <c r="GQ12" s="150"/>
      <c r="GR12" s="150"/>
      <c r="GS12" s="150"/>
      <c r="GT12" s="150"/>
      <c r="GU12" s="150"/>
      <c r="GV12" s="150"/>
      <c r="GW12" s="150"/>
      <c r="GX12" s="150"/>
      <c r="GY12" s="150"/>
      <c r="GZ12" s="150"/>
      <c r="HA12" s="150"/>
      <c r="HB12" s="150"/>
      <c r="HC12" s="150"/>
      <c r="HD12" s="150"/>
      <c r="HE12" s="150"/>
      <c r="HF12" s="150"/>
      <c r="HG12" s="150"/>
      <c r="HH12" s="150"/>
      <c r="HI12" s="150"/>
      <c r="HJ12" s="150"/>
      <c r="HK12" s="150"/>
      <c r="HL12" s="150"/>
      <c r="HM12" s="150"/>
      <c r="HN12" s="150"/>
      <c r="HO12" s="150"/>
      <c r="HP12" s="150"/>
      <c r="HQ12" s="150"/>
      <c r="HR12" s="150"/>
      <c r="HS12" s="150"/>
      <c r="HT12" s="150"/>
      <c r="HU12" s="150"/>
      <c r="HV12" s="150"/>
      <c r="HW12" s="150"/>
      <c r="HX12" s="150"/>
      <c r="HY12" s="150"/>
      <c r="HZ12" s="150"/>
      <c r="IA12" s="150"/>
      <c r="IB12" s="150"/>
      <c r="IC12" s="150"/>
      <c r="ID12" s="150"/>
      <c r="IE12" s="150"/>
      <c r="IF12" s="150"/>
      <c r="IG12" s="150"/>
      <c r="IH12" s="150"/>
      <c r="II12" s="150"/>
      <c r="IJ12" s="150"/>
      <c r="IK12" s="150"/>
      <c r="IL12" s="150"/>
      <c r="IM12" s="150"/>
      <c r="IN12" s="150"/>
      <c r="IO12" s="150"/>
      <c r="IP12" s="150"/>
      <c r="IQ12" s="150"/>
      <c r="IR12" s="150"/>
      <c r="IS12" s="150"/>
      <c r="IT12" s="150"/>
      <c r="IU12" s="150"/>
      <c r="IV12" s="150"/>
      <c r="IW12" s="150"/>
      <c r="IX12" s="150"/>
      <c r="IY12" s="150"/>
      <c r="IZ12" s="150"/>
      <c r="JA12" s="150"/>
      <c r="JB12" s="150"/>
      <c r="JC12" s="150"/>
      <c r="JD12" s="150"/>
      <c r="JE12" s="150"/>
      <c r="JF12" s="150"/>
      <c r="JG12" s="150"/>
      <c r="JH12" s="150"/>
      <c r="JI12" s="150"/>
      <c r="JJ12" s="150"/>
      <c r="JK12" s="150"/>
      <c r="JL12" s="150"/>
      <c r="JM12" s="150"/>
      <c r="JN12" s="150"/>
      <c r="JO12" s="150"/>
      <c r="JP12" s="150"/>
      <c r="JQ12" s="150"/>
      <c r="JR12" s="150"/>
      <c r="JS12" s="150"/>
      <c r="JT12" s="150"/>
      <c r="JU12" s="150"/>
      <c r="JV12" s="150"/>
      <c r="JW12" s="150"/>
      <c r="JX12" s="150"/>
      <c r="JY12" s="150"/>
      <c r="JZ12" s="150"/>
      <c r="KA12" s="150"/>
      <c r="KB12" s="150"/>
      <c r="KC12" s="150"/>
      <c r="KD12" s="150"/>
      <c r="KE12" s="150"/>
      <c r="KF12" s="150"/>
      <c r="KG12" s="150"/>
      <c r="KH12" s="150"/>
      <c r="KI12" s="150"/>
      <c r="KJ12" s="150"/>
      <c r="KK12" s="150"/>
      <c r="KL12" s="150"/>
      <c r="KM12" s="150"/>
      <c r="KN12" s="150"/>
      <c r="KO12" s="150"/>
      <c r="KP12" s="150"/>
      <c r="KQ12" s="150"/>
      <c r="KR12" s="150"/>
      <c r="KS12" s="150"/>
      <c r="KT12" s="150"/>
      <c r="KU12" s="150"/>
      <c r="KV12" s="150"/>
      <c r="KW12" s="150"/>
      <c r="KX12" s="150"/>
      <c r="KY12" s="150"/>
      <c r="KZ12" s="150"/>
      <c r="LA12" s="150"/>
      <c r="LB12" s="150"/>
      <c r="LC12" s="150"/>
      <c r="LD12" s="150"/>
      <c r="LE12" s="150"/>
      <c r="LF12" s="150"/>
      <c r="LG12" s="150"/>
      <c r="LH12" s="150"/>
      <c r="LI12" s="150"/>
      <c r="LJ12" s="150"/>
      <c r="LK12" s="150"/>
      <c r="LL12" s="150"/>
      <c r="LM12" s="150"/>
      <c r="LN12" s="150"/>
      <c r="LO12" s="150"/>
      <c r="LP12" s="150"/>
      <c r="LQ12" s="150"/>
      <c r="LR12" s="150"/>
      <c r="LS12" s="150"/>
      <c r="LT12" s="150"/>
      <c r="LU12" s="150"/>
      <c r="LV12" s="150"/>
      <c r="LW12" s="150"/>
      <c r="LX12" s="150"/>
      <c r="LY12" s="150"/>
      <c r="LZ12" s="150"/>
      <c r="MA12" s="150"/>
      <c r="MB12" s="150"/>
      <c r="MC12" s="150"/>
      <c r="MD12" s="150"/>
      <c r="ME12" s="150"/>
      <c r="MF12" s="150"/>
      <c r="MG12" s="150"/>
      <c r="MH12" s="150"/>
      <c r="MI12" s="150"/>
      <c r="MJ12" s="150"/>
      <c r="MK12" s="150"/>
      <c r="ML12" s="150"/>
      <c r="MM12" s="150"/>
      <c r="MN12" s="150"/>
      <c r="MO12" s="150"/>
      <c r="MP12" s="150"/>
      <c r="MQ12" s="150"/>
      <c r="MR12" s="150"/>
      <c r="MS12" s="150"/>
      <c r="MT12" s="150"/>
      <c r="MU12" s="150"/>
      <c r="MV12" s="150"/>
      <c r="MW12" s="150"/>
      <c r="MX12" s="150"/>
      <c r="MY12" s="150"/>
      <c r="MZ12" s="150"/>
      <c r="NA12" s="150"/>
      <c r="NB12" s="150"/>
      <c r="NC12" s="150"/>
      <c r="ND12" s="150"/>
      <c r="NE12" s="150"/>
      <c r="NF12" s="150"/>
      <c r="NG12" s="150"/>
      <c r="NH12" s="150"/>
      <c r="NI12" s="150"/>
      <c r="NJ12" s="150"/>
      <c r="NK12" s="150"/>
      <c r="NL12" s="150"/>
      <c r="NM12" s="150"/>
      <c r="NN12" s="150"/>
      <c r="NO12" s="150"/>
      <c r="NP12" s="150"/>
      <c r="NQ12" s="150"/>
      <c r="NR12" s="150"/>
      <c r="NS12" s="150"/>
      <c r="NT12" s="150"/>
      <c r="NU12" s="150"/>
      <c r="NV12" s="150"/>
      <c r="NW12" s="150"/>
      <c r="NX12" s="150"/>
      <c r="NY12" s="150"/>
      <c r="NZ12" s="150"/>
      <c r="OA12" s="150"/>
      <c r="OB12" s="150"/>
      <c r="OC12" s="150"/>
      <c r="OD12" s="150"/>
      <c r="OE12" s="150"/>
      <c r="OF12" s="150"/>
      <c r="OG12" s="150"/>
      <c r="OH12" s="150"/>
      <c r="OI12" s="150"/>
      <c r="OJ12" s="150"/>
      <c r="OK12" s="150"/>
      <c r="OL12" s="150"/>
      <c r="OM12" s="150"/>
      <c r="ON12" s="150"/>
      <c r="OO12" s="150"/>
      <c r="OP12" s="150"/>
      <c r="OQ12" s="150"/>
      <c r="OR12" s="150"/>
      <c r="OS12" s="150"/>
      <c r="OT12" s="150"/>
      <c r="OU12" s="150"/>
      <c r="OV12" s="150"/>
      <c r="OW12" s="150"/>
      <c r="OX12" s="150"/>
      <c r="OY12" s="150"/>
      <c r="OZ12" s="150"/>
      <c r="PA12" s="150"/>
      <c r="PB12" s="150"/>
      <c r="PC12" s="150"/>
      <c r="PD12" s="150"/>
      <c r="PE12" s="150"/>
      <c r="PF12" s="150"/>
      <c r="PG12" s="150"/>
      <c r="PH12" s="150"/>
      <c r="PI12" s="150"/>
      <c r="PJ12" s="150"/>
      <c r="PK12" s="150"/>
      <c r="PL12" s="150"/>
      <c r="PM12" s="150"/>
      <c r="PN12" s="150"/>
      <c r="PO12" s="150"/>
      <c r="PP12" s="150"/>
      <c r="PQ12" s="150"/>
      <c r="PR12" s="150"/>
      <c r="PS12" s="150"/>
      <c r="PT12" s="150"/>
      <c r="PU12" s="150"/>
      <c r="PV12" s="150"/>
      <c r="PW12" s="150"/>
      <c r="PX12" s="150"/>
      <c r="PY12" s="150"/>
      <c r="PZ12" s="150"/>
      <c r="QA12" s="150"/>
      <c r="QB12" s="150"/>
      <c r="QC12" s="150"/>
      <c r="QD12" s="150"/>
      <c r="QE12" s="150"/>
      <c r="QF12" s="150"/>
      <c r="QG12" s="150"/>
      <c r="QH12" s="150"/>
      <c r="QI12" s="150"/>
      <c r="QJ12" s="150"/>
      <c r="QK12" s="150"/>
      <c r="QL12" s="150"/>
      <c r="QM12" s="150"/>
      <c r="QN12" s="150"/>
      <c r="QO12" s="150"/>
      <c r="QP12" s="150"/>
      <c r="QQ12" s="150"/>
      <c r="QR12" s="150"/>
      <c r="QS12" s="150"/>
      <c r="QT12" s="150"/>
      <c r="QU12" s="150"/>
      <c r="QV12" s="150"/>
      <c r="QW12" s="150"/>
      <c r="QX12" s="150"/>
      <c r="QY12" s="150"/>
      <c r="QZ12" s="150"/>
      <c r="RA12" s="150"/>
      <c r="RB12" s="150"/>
      <c r="RC12" s="150"/>
      <c r="RD12" s="150"/>
      <c r="RE12" s="150"/>
      <c r="RF12" s="150"/>
      <c r="RG12" s="150"/>
      <c r="RH12" s="150"/>
      <c r="RI12" s="150"/>
      <c r="RJ12" s="150"/>
      <c r="RK12" s="150"/>
      <c r="RL12" s="150"/>
      <c r="RM12" s="150"/>
      <c r="RN12" s="150"/>
      <c r="RO12" s="150"/>
      <c r="RP12" s="150"/>
      <c r="RQ12" s="150"/>
      <c r="RR12" s="150"/>
      <c r="RS12" s="150"/>
      <c r="RT12" s="150"/>
      <c r="RU12" s="150"/>
      <c r="RV12" s="150"/>
      <c r="RW12" s="150"/>
      <c r="RX12" s="150"/>
      <c r="RY12" s="150"/>
      <c r="RZ12" s="150"/>
      <c r="SA12" s="150"/>
      <c r="SB12" s="150"/>
      <c r="SC12" s="150"/>
      <c r="SD12" s="150"/>
      <c r="SE12" s="150"/>
      <c r="SF12" s="150"/>
      <c r="SG12" s="150"/>
      <c r="SH12" s="150"/>
      <c r="SI12" s="150"/>
      <c r="SJ12" s="150"/>
      <c r="SK12" s="150"/>
      <c r="SL12" s="150"/>
      <c r="SM12" s="150"/>
      <c r="SN12" s="150"/>
      <c r="SO12" s="150"/>
      <c r="SP12" s="150"/>
      <c r="SQ12" s="150"/>
      <c r="SR12" s="150"/>
      <c r="SS12" s="150"/>
      <c r="ST12" s="150"/>
      <c r="SU12" s="150"/>
      <c r="SV12" s="150"/>
      <c r="SW12" s="150"/>
      <c r="SX12" s="150"/>
      <c r="SY12" s="150"/>
      <c r="SZ12" s="150"/>
      <c r="TA12" s="150"/>
      <c r="TB12" s="150"/>
      <c r="TC12" s="150"/>
      <c r="TD12" s="150"/>
      <c r="TE12" s="150"/>
      <c r="TF12" s="150"/>
      <c r="TG12" s="150"/>
      <c r="TH12" s="150"/>
      <c r="TI12" s="150"/>
      <c r="TJ12" s="150"/>
      <c r="TK12" s="150"/>
      <c r="TL12" s="150"/>
      <c r="TM12" s="150"/>
      <c r="TN12" s="150"/>
      <c r="TO12" s="150"/>
      <c r="TP12" s="150"/>
      <c r="TQ12" s="150"/>
      <c r="TR12" s="150"/>
      <c r="TS12" s="150"/>
      <c r="TT12" s="150"/>
      <c r="TU12" s="150"/>
      <c r="TV12" s="150"/>
      <c r="TW12" s="150"/>
      <c r="TX12" s="150"/>
      <c r="TY12" s="150"/>
      <c r="TZ12" s="150"/>
      <c r="UA12" s="150"/>
      <c r="UB12" s="150"/>
      <c r="UC12" s="150"/>
      <c r="UD12" s="150"/>
      <c r="UE12" s="150"/>
      <c r="UF12" s="150"/>
      <c r="UG12" s="150"/>
      <c r="UH12" s="150"/>
      <c r="UI12" s="150"/>
      <c r="UJ12" s="150"/>
      <c r="UK12" s="150"/>
      <c r="UL12" s="150"/>
      <c r="UM12" s="150"/>
      <c r="UN12" s="150"/>
      <c r="UO12" s="150"/>
      <c r="UP12" s="150"/>
      <c r="UQ12" s="150"/>
      <c r="UR12" s="150"/>
      <c r="US12" s="150"/>
      <c r="UT12" s="150"/>
      <c r="UU12" s="150"/>
      <c r="UV12" s="150"/>
      <c r="UW12" s="150"/>
      <c r="UX12" s="150"/>
      <c r="UY12" s="150"/>
      <c r="UZ12" s="150"/>
      <c r="VA12" s="150"/>
      <c r="VB12" s="150"/>
      <c r="VC12" s="150"/>
      <c r="VD12" s="150"/>
      <c r="VE12" s="150"/>
      <c r="VF12" s="150"/>
      <c r="VG12" s="150"/>
      <c r="VH12" s="150"/>
      <c r="VI12" s="150"/>
      <c r="VJ12" s="150"/>
      <c r="VK12" s="150"/>
      <c r="VL12" s="150"/>
      <c r="VM12" s="150"/>
      <c r="VN12" s="150"/>
      <c r="VO12" s="150"/>
      <c r="VP12" s="150"/>
      <c r="VQ12" s="150"/>
      <c r="VR12" s="150"/>
      <c r="VS12" s="150"/>
      <c r="VT12" s="150"/>
      <c r="VU12" s="150"/>
      <c r="VV12" s="150"/>
      <c r="VW12" s="150"/>
      <c r="VX12" s="150"/>
      <c r="VY12" s="150"/>
      <c r="VZ12" s="150"/>
      <c r="WA12" s="150"/>
      <c r="WB12" s="150"/>
      <c r="WC12" s="150"/>
      <c r="WD12" s="150"/>
      <c r="WE12" s="150"/>
      <c r="WF12" s="150"/>
      <c r="WG12" s="150"/>
      <c r="WH12" s="150"/>
      <c r="WI12" s="150"/>
      <c r="WJ12" s="150"/>
      <c r="WK12" s="150"/>
      <c r="WL12" s="150"/>
      <c r="WM12" s="150"/>
      <c r="WN12" s="150"/>
      <c r="WO12" s="150"/>
      <c r="WP12" s="150"/>
      <c r="WQ12" s="150"/>
      <c r="WR12" s="150"/>
      <c r="WS12" s="150"/>
      <c r="WT12" s="150"/>
      <c r="WU12" s="150"/>
      <c r="WV12" s="150"/>
      <c r="WW12" s="150"/>
      <c r="WX12" s="150"/>
      <c r="WY12" s="150"/>
      <c r="WZ12" s="150"/>
      <c r="XA12" s="150"/>
      <c r="XB12" s="150"/>
      <c r="XC12" s="150"/>
      <c r="XD12" s="150"/>
      <c r="XE12" s="150"/>
      <c r="XF12" s="150"/>
      <c r="XG12" s="150"/>
      <c r="XH12" s="150"/>
      <c r="XI12" s="150"/>
      <c r="XJ12" s="150"/>
      <c r="XK12" s="150"/>
      <c r="XL12" s="150"/>
      <c r="XM12" s="150"/>
      <c r="XN12" s="150"/>
      <c r="XO12" s="150"/>
      <c r="XP12" s="150"/>
      <c r="XQ12" s="150"/>
      <c r="XR12" s="150"/>
      <c r="XS12" s="150"/>
      <c r="XT12" s="150"/>
      <c r="XU12" s="150"/>
      <c r="XV12" s="150"/>
      <c r="XW12" s="150"/>
      <c r="XX12" s="150"/>
      <c r="XY12" s="150"/>
      <c r="XZ12" s="150"/>
      <c r="YA12" s="150"/>
      <c r="YB12" s="150"/>
      <c r="YC12" s="150"/>
      <c r="YD12" s="150"/>
      <c r="YE12" s="150"/>
      <c r="YF12" s="150"/>
      <c r="YG12" s="150"/>
      <c r="YH12" s="150"/>
      <c r="YI12" s="150"/>
      <c r="YJ12" s="150"/>
      <c r="YK12" s="150"/>
      <c r="YL12" s="150"/>
      <c r="YM12" s="150"/>
      <c r="YN12" s="150"/>
      <c r="YO12" s="150"/>
      <c r="YP12" s="150"/>
      <c r="YQ12" s="150"/>
      <c r="YR12" s="150"/>
      <c r="YS12" s="150"/>
      <c r="YT12" s="150"/>
      <c r="YU12" s="150"/>
      <c r="YV12" s="150"/>
      <c r="YW12" s="150"/>
      <c r="YX12" s="150"/>
      <c r="YY12" s="150"/>
      <c r="YZ12" s="150"/>
      <c r="ZA12" s="150"/>
      <c r="ZB12" s="150"/>
      <c r="ZC12" s="150"/>
      <c r="ZD12" s="150"/>
      <c r="ZE12" s="150"/>
      <c r="ZF12" s="150"/>
      <c r="ZG12" s="150"/>
      <c r="ZH12" s="150"/>
      <c r="ZI12" s="150"/>
      <c r="ZJ12" s="150"/>
      <c r="ZK12" s="150"/>
      <c r="ZL12" s="150"/>
      <c r="ZM12" s="150"/>
      <c r="ZN12" s="150"/>
      <c r="ZO12" s="150"/>
      <c r="ZP12" s="150"/>
      <c r="ZQ12" s="150"/>
      <c r="ZR12" s="150"/>
      <c r="ZS12" s="150"/>
      <c r="ZT12" s="150"/>
      <c r="ZU12" s="150"/>
      <c r="ZV12" s="150"/>
      <c r="ZW12" s="150"/>
      <c r="ZX12" s="150"/>
      <c r="ZY12" s="150"/>
      <c r="ZZ12" s="150"/>
      <c r="AAA12" s="150"/>
      <c r="AAB12" s="150"/>
      <c r="AAC12" s="150"/>
      <c r="AAD12" s="150"/>
      <c r="AAE12" s="150"/>
      <c r="AAF12" s="150"/>
      <c r="AAG12" s="150"/>
      <c r="AAH12" s="150"/>
      <c r="AAI12" s="150"/>
      <c r="AAJ12" s="150"/>
      <c r="AAK12" s="150"/>
      <c r="AAL12" s="150"/>
      <c r="AAM12" s="150"/>
      <c r="AAN12" s="150"/>
      <c r="AAO12" s="150"/>
      <c r="AAP12" s="150"/>
      <c r="AAQ12" s="150"/>
      <c r="AAR12" s="150"/>
      <c r="AAS12" s="150"/>
      <c r="AAT12" s="150"/>
      <c r="AAU12" s="150"/>
      <c r="AAV12" s="150"/>
      <c r="AAW12" s="150"/>
      <c r="AAX12" s="150"/>
      <c r="AAY12" s="150"/>
      <c r="AAZ12" s="150"/>
      <c r="ABA12" s="150"/>
      <c r="ABB12" s="150"/>
      <c r="ABC12" s="150"/>
      <c r="ABD12" s="150"/>
      <c r="ABE12" s="150"/>
      <c r="ABF12" s="150"/>
      <c r="ABG12" s="150"/>
      <c r="ABH12" s="150"/>
      <c r="ABI12" s="150"/>
      <c r="ABJ12" s="150"/>
      <c r="ABK12" s="150"/>
      <c r="ABL12" s="150"/>
      <c r="ABM12" s="150"/>
      <c r="ABN12" s="150"/>
      <c r="ABO12" s="150"/>
      <c r="ABP12" s="150"/>
      <c r="ABQ12" s="150"/>
      <c r="ABR12" s="150"/>
      <c r="ABS12" s="150"/>
      <c r="ABT12" s="150"/>
      <c r="ABU12" s="150"/>
      <c r="ABV12" s="150"/>
      <c r="ABW12" s="150"/>
      <c r="ABX12" s="150"/>
      <c r="ABY12" s="150"/>
      <c r="ABZ12" s="150"/>
      <c r="ACA12" s="150"/>
      <c r="ACB12" s="150"/>
      <c r="ACC12" s="150"/>
      <c r="ACD12" s="150"/>
      <c r="ACE12" s="150"/>
      <c r="ACF12" s="150"/>
      <c r="ACG12" s="150"/>
      <c r="ACH12" s="150"/>
      <c r="ACI12" s="150"/>
      <c r="ACJ12" s="150"/>
      <c r="ACK12" s="150"/>
      <c r="ACL12" s="150"/>
      <c r="ACM12" s="150"/>
      <c r="ACN12" s="150"/>
      <c r="ACO12" s="150"/>
      <c r="ACP12" s="150"/>
      <c r="ACQ12" s="150"/>
      <c r="ACR12" s="150"/>
      <c r="ACS12" s="150"/>
      <c r="ACT12" s="150"/>
      <c r="ACU12" s="150"/>
      <c r="ACV12" s="150"/>
      <c r="ACW12" s="150"/>
      <c r="ACX12" s="150"/>
      <c r="ACY12" s="150"/>
      <c r="ACZ12" s="150"/>
      <c r="ADA12" s="150"/>
      <c r="ADB12" s="150"/>
      <c r="ADC12" s="150"/>
      <c r="ADD12" s="150"/>
      <c r="ADE12" s="150"/>
      <c r="ADF12" s="150"/>
      <c r="ADG12" s="150"/>
      <c r="ADH12" s="150"/>
      <c r="ADI12" s="150"/>
      <c r="ADJ12" s="150"/>
      <c r="ADK12" s="150"/>
      <c r="ADL12" s="150"/>
      <c r="ADM12" s="150"/>
      <c r="ADN12" s="150"/>
      <c r="ADO12" s="150"/>
      <c r="ADP12" s="150"/>
      <c r="ADQ12" s="150"/>
      <c r="ADR12" s="150"/>
      <c r="ADS12" s="150"/>
      <c r="ADT12" s="150"/>
      <c r="ADU12" s="150"/>
      <c r="ADV12" s="150"/>
      <c r="ADW12" s="150"/>
      <c r="ADX12" s="150"/>
      <c r="ADY12" s="150"/>
      <c r="ADZ12" s="150"/>
      <c r="AEA12" s="150"/>
      <c r="AEB12" s="150"/>
      <c r="AEC12" s="150"/>
      <c r="AED12" s="150"/>
      <c r="AEE12" s="150"/>
      <c r="AEF12" s="150"/>
      <c r="AEG12" s="150"/>
      <c r="AEH12" s="150"/>
      <c r="AEI12" s="150"/>
      <c r="AEJ12" s="150"/>
      <c r="AEK12" s="150"/>
      <c r="AEL12" s="150"/>
      <c r="AEM12" s="150"/>
      <c r="AEN12" s="150"/>
      <c r="AEO12" s="150"/>
      <c r="AEP12" s="150"/>
      <c r="AEQ12" s="150"/>
      <c r="AER12" s="150"/>
      <c r="AES12" s="150"/>
      <c r="AET12" s="150"/>
      <c r="AEU12" s="150"/>
      <c r="AEV12" s="150"/>
      <c r="AEW12" s="150"/>
      <c r="AEX12" s="150"/>
      <c r="AEY12" s="150"/>
      <c r="AEZ12" s="150"/>
      <c r="AFA12" s="150"/>
      <c r="AFB12" s="150"/>
      <c r="AFC12" s="150"/>
      <c r="AFD12" s="150"/>
      <c r="AFE12" s="150"/>
      <c r="AFF12" s="150"/>
      <c r="AFG12" s="150"/>
      <c r="AFH12" s="150"/>
      <c r="AFI12" s="150"/>
      <c r="AFJ12" s="150"/>
      <c r="AFK12" s="150"/>
      <c r="AFL12" s="150"/>
      <c r="AFM12" s="150"/>
      <c r="AFN12" s="150"/>
      <c r="AFO12" s="150"/>
      <c r="AFP12" s="150"/>
      <c r="AFQ12" s="150"/>
      <c r="AFR12" s="150"/>
      <c r="AFS12" s="150"/>
      <c r="AFT12" s="150"/>
      <c r="AFU12" s="150"/>
      <c r="AFV12" s="150"/>
      <c r="AFW12" s="150"/>
      <c r="AFX12" s="150"/>
      <c r="AFY12" s="150"/>
      <c r="AFZ12" s="150"/>
      <c r="AGA12" s="150"/>
      <c r="AGB12" s="150"/>
      <c r="AGC12" s="150"/>
      <c r="AGD12" s="150"/>
      <c r="AGE12" s="150"/>
      <c r="AGF12" s="150"/>
      <c r="AGG12" s="150"/>
      <c r="AGH12" s="150"/>
      <c r="AGI12" s="150"/>
      <c r="AGJ12" s="150"/>
      <c r="AGK12" s="150"/>
      <c r="AGL12" s="150"/>
      <c r="AGM12" s="150"/>
      <c r="AGN12" s="150"/>
      <c r="AGO12" s="150"/>
      <c r="AGP12" s="150"/>
      <c r="AGQ12" s="150"/>
      <c r="AGR12" s="150"/>
      <c r="AGS12" s="150"/>
      <c r="AGT12" s="150"/>
      <c r="AGU12" s="150"/>
      <c r="AGV12" s="150"/>
      <c r="AGW12" s="150"/>
      <c r="AGX12" s="150"/>
      <c r="AGY12" s="150"/>
      <c r="AGZ12" s="150"/>
      <c r="AHA12" s="150"/>
      <c r="AHB12" s="150"/>
      <c r="AHC12" s="150"/>
      <c r="AHD12" s="150"/>
      <c r="AHE12" s="150"/>
      <c r="AHF12" s="150"/>
      <c r="AHG12" s="150"/>
      <c r="AHH12" s="150"/>
      <c r="AHI12" s="150"/>
      <c r="AHJ12" s="150"/>
      <c r="AHK12" s="150"/>
      <c r="AHL12" s="150"/>
      <c r="AHM12" s="150"/>
      <c r="AHN12" s="150"/>
      <c r="AHO12" s="150"/>
      <c r="AHP12" s="150"/>
      <c r="AHQ12" s="150"/>
      <c r="AHR12" s="150"/>
      <c r="AHS12" s="150"/>
      <c r="AHT12" s="150"/>
      <c r="AHU12" s="150"/>
      <c r="AHV12" s="150"/>
      <c r="AHW12" s="150"/>
      <c r="AHX12" s="150"/>
      <c r="AHY12" s="150"/>
      <c r="AHZ12" s="150"/>
      <c r="AIA12" s="150"/>
      <c r="AIB12" s="150"/>
      <c r="AIC12" s="150"/>
      <c r="AID12" s="150"/>
      <c r="AIE12" s="150"/>
      <c r="AIF12" s="150"/>
      <c r="AIG12" s="150"/>
      <c r="AIH12" s="150"/>
      <c r="AII12" s="150"/>
      <c r="AIJ12" s="150"/>
      <c r="AIK12" s="150"/>
      <c r="AIL12" s="150"/>
      <c r="AIM12" s="150"/>
      <c r="AIN12" s="150"/>
      <c r="AIO12" s="150"/>
      <c r="AIP12" s="150"/>
      <c r="AIQ12" s="150"/>
      <c r="AIR12" s="150"/>
      <c r="AIS12" s="150"/>
      <c r="AIT12" s="150"/>
      <c r="AIU12" s="150"/>
      <c r="AIV12" s="150"/>
      <c r="AIW12" s="150"/>
      <c r="AIX12" s="150"/>
      <c r="AIY12" s="150"/>
      <c r="AIZ12" s="150"/>
      <c r="AJA12" s="150"/>
      <c r="AJB12" s="150"/>
      <c r="AJC12" s="150"/>
      <c r="AJD12" s="150"/>
      <c r="AJE12" s="150"/>
      <c r="AJF12" s="150"/>
      <c r="AJG12" s="150"/>
      <c r="AJH12" s="150"/>
      <c r="AJI12" s="150"/>
      <c r="AJJ12" s="150"/>
      <c r="AJK12" s="150"/>
      <c r="AJL12" s="150"/>
      <c r="AJM12" s="150"/>
      <c r="AJN12" s="150"/>
      <c r="AJO12" s="150"/>
      <c r="AJP12" s="150"/>
      <c r="AJQ12" s="150"/>
      <c r="AJR12" s="150"/>
      <c r="AJS12" s="150"/>
      <c r="AJT12" s="150"/>
      <c r="AJU12" s="150"/>
      <c r="AJV12" s="150"/>
      <c r="AJW12" s="150"/>
      <c r="AJX12" s="150"/>
      <c r="AJY12" s="150"/>
      <c r="AJZ12" s="150"/>
      <c r="AKA12" s="150"/>
      <c r="AKB12" s="150"/>
      <c r="AKC12" s="150"/>
      <c r="AKD12" s="150"/>
      <c r="AKE12" s="150"/>
      <c r="AKF12" s="150"/>
      <c r="AKG12" s="150"/>
      <c r="AKH12" s="150"/>
      <c r="AKI12" s="150"/>
      <c r="AKJ12" s="150"/>
      <c r="AKK12" s="150"/>
      <c r="AKL12" s="150"/>
      <c r="AKM12" s="150"/>
      <c r="AKN12" s="150"/>
      <c r="AKO12" s="150"/>
      <c r="AKP12" s="150"/>
      <c r="AKQ12" s="150"/>
      <c r="AKR12" s="150"/>
      <c r="AKS12" s="150"/>
      <c r="AKT12" s="150"/>
      <c r="AKU12" s="150"/>
      <c r="AKV12" s="150"/>
      <c r="AKW12" s="150"/>
      <c r="AKX12" s="150"/>
      <c r="AKY12" s="150"/>
      <c r="AKZ12" s="150"/>
      <c r="ALA12" s="150"/>
      <c r="ALB12" s="150"/>
      <c r="ALC12" s="150"/>
      <c r="ALD12" s="150"/>
      <c r="ALE12" s="150"/>
      <c r="ALF12" s="150"/>
      <c r="ALG12" s="150"/>
      <c r="ALH12" s="150"/>
      <c r="ALI12" s="150"/>
      <c r="ALJ12" s="150"/>
      <c r="ALK12" s="150"/>
      <c r="ALL12" s="150"/>
      <c r="ALM12" s="150"/>
      <c r="ALN12" s="150"/>
      <c r="ALO12" s="150"/>
      <c r="ALP12" s="150"/>
      <c r="ALQ12" s="150"/>
      <c r="ALR12" s="150"/>
      <c r="ALS12" s="150"/>
      <c r="ALT12" s="150"/>
      <c r="ALU12" s="150"/>
      <c r="ALV12" s="150"/>
      <c r="ALW12" s="150"/>
      <c r="ALX12" s="150"/>
      <c r="ALY12" s="150"/>
      <c r="ALZ12" s="150"/>
      <c r="AMA12" s="150"/>
      <c r="AMB12" s="150"/>
      <c r="AMC12" s="150"/>
      <c r="AMD12" s="150"/>
      <c r="AME12" s="150"/>
      <c r="AMF12" s="150"/>
      <c r="AMG12" s="150"/>
      <c r="AMH12" s="150"/>
      <c r="AMI12" s="150"/>
      <c r="AMJ12" s="150"/>
      <c r="AMK12" s="150"/>
    </row>
    <row r="13" spans="1:1025" ht="31.5" customHeight="1" x14ac:dyDescent="0.25">
      <c r="B13" s="295" t="s">
        <v>17</v>
      </c>
      <c r="C13" s="295"/>
      <c r="D13" s="295"/>
      <c r="E13" s="295"/>
      <c r="F13" s="295"/>
      <c r="G13" s="295"/>
      <c r="H13" s="295"/>
      <c r="I13" s="295"/>
      <c r="J13" s="295"/>
      <c r="K13" s="295"/>
      <c r="L13" s="295"/>
      <c r="M13" s="4" t="s">
        <v>94</v>
      </c>
      <c r="N13" s="296"/>
      <c r="O13" s="296"/>
      <c r="P13" s="296"/>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row>
    <row r="14" spans="1:1025" ht="21.75" customHeight="1" x14ac:dyDescent="0.25">
      <c r="B14" s="295" t="s">
        <v>18</v>
      </c>
      <c r="C14" s="295"/>
      <c r="D14" s="295"/>
      <c r="E14" s="295"/>
      <c r="F14" s="295"/>
      <c r="G14" s="295"/>
      <c r="H14" s="295"/>
      <c r="I14" s="295"/>
      <c r="J14" s="295"/>
      <c r="K14" s="295"/>
      <c r="L14" s="295"/>
      <c r="M14" s="296"/>
      <c r="N14" s="296"/>
      <c r="O14" s="296"/>
      <c r="P14" s="296"/>
      <c r="R14" s="282" t="s">
        <v>19</v>
      </c>
      <c r="S14" s="282"/>
      <c r="T14" s="282"/>
      <c r="U14" s="282"/>
      <c r="V14" s="282"/>
      <c r="W14" s="282"/>
      <c r="X14" s="298" t="s">
        <v>174</v>
      </c>
      <c r="Y14" s="299"/>
      <c r="Z14" s="299"/>
      <c r="AA14" s="299"/>
      <c r="AB14" s="299"/>
      <c r="AC14" s="299"/>
      <c r="AD14" s="299"/>
      <c r="AE14" s="299"/>
      <c r="AF14" s="299"/>
      <c r="AG14" s="299"/>
      <c r="AH14" s="299"/>
      <c r="AI14" s="299"/>
      <c r="AJ14" s="299"/>
      <c r="AK14" s="299"/>
      <c r="AL14" s="299"/>
      <c r="AM14" s="299"/>
      <c r="AN14" s="299"/>
      <c r="AO14" s="300"/>
    </row>
    <row r="15" spans="1:1025" x14ac:dyDescent="0.25">
      <c r="B15" s="295"/>
      <c r="C15" s="295"/>
      <c r="D15" s="295"/>
      <c r="E15" s="295"/>
      <c r="F15" s="295"/>
      <c r="G15" s="295"/>
      <c r="H15" s="295"/>
      <c r="I15" s="295"/>
      <c r="J15" s="295"/>
      <c r="K15" s="295"/>
      <c r="L15" s="295"/>
      <c r="M15" s="296"/>
      <c r="N15" s="296"/>
      <c r="O15" s="296"/>
      <c r="P15" s="296"/>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row>
    <row r="16" spans="1:1025" x14ac:dyDescent="0.25">
      <c r="B16" s="295" t="s">
        <v>20</v>
      </c>
      <c r="C16" s="295"/>
      <c r="D16" s="295"/>
      <c r="E16" s="295"/>
      <c r="F16" s="295"/>
      <c r="G16" s="295"/>
      <c r="H16" s="295"/>
      <c r="I16" s="295"/>
      <c r="J16" s="295"/>
      <c r="K16" s="295"/>
      <c r="L16" s="295"/>
      <c r="M16" s="296"/>
      <c r="N16" s="308"/>
      <c r="O16" s="308"/>
      <c r="P16" s="308"/>
      <c r="R16" s="309" t="s">
        <v>58</v>
      </c>
      <c r="S16" s="309"/>
      <c r="T16" s="309"/>
      <c r="U16" s="309"/>
      <c r="V16" s="309"/>
      <c r="W16" s="309"/>
      <c r="X16" s="310" t="str">
        <f>'Score BD'!G3</f>
        <v>Noviembre</v>
      </c>
      <c r="Y16" s="311"/>
      <c r="Z16" s="311"/>
      <c r="AA16" s="311"/>
      <c r="AB16" s="311"/>
      <c r="AC16" s="311"/>
      <c r="AD16" s="311"/>
      <c r="AE16" s="311"/>
      <c r="AF16" s="311"/>
      <c r="AG16" s="311"/>
      <c r="AH16" s="311"/>
      <c r="AI16" s="311"/>
      <c r="AJ16" s="311"/>
      <c r="AK16" s="311"/>
      <c r="AL16" s="311"/>
      <c r="AM16" s="311"/>
      <c r="AN16" s="311"/>
      <c r="AO16" s="312"/>
    </row>
    <row r="17" spans="2:41" x14ac:dyDescent="0.25">
      <c r="B17" s="295"/>
      <c r="C17" s="295"/>
      <c r="D17" s="295"/>
      <c r="E17" s="295"/>
      <c r="F17" s="295"/>
      <c r="G17" s="295"/>
      <c r="H17" s="295"/>
      <c r="I17" s="295"/>
      <c r="J17" s="295"/>
      <c r="K17" s="295"/>
      <c r="L17" s="295"/>
      <c r="M17" s="296"/>
      <c r="N17" s="308"/>
      <c r="O17" s="308"/>
      <c r="P17" s="308"/>
      <c r="AO17" s="11"/>
    </row>
    <row r="18" spans="2:41" x14ac:dyDescent="0.25">
      <c r="B18" s="295" t="s">
        <v>21</v>
      </c>
      <c r="C18" s="295"/>
      <c r="D18" s="295"/>
      <c r="E18" s="295"/>
      <c r="F18" s="295"/>
      <c r="G18" s="295"/>
      <c r="H18" s="295"/>
      <c r="I18" s="295"/>
      <c r="J18" s="295"/>
      <c r="K18" s="295"/>
      <c r="L18" s="295"/>
      <c r="M18" s="296"/>
      <c r="N18" s="296"/>
      <c r="O18" s="296"/>
      <c r="P18" s="296"/>
      <c r="R18" s="302" t="s">
        <v>22</v>
      </c>
      <c r="S18" s="302"/>
      <c r="T18" s="302"/>
      <c r="U18" s="302"/>
      <c r="V18" s="302"/>
      <c r="W18" s="302"/>
      <c r="Y18" s="313">
        <f>+IFERROR(AVERAGE(H25,H36,H47,H58,H69,H80,H91,H102,H112,H122,H132,H142),"")</f>
        <v>1.0000000000000002</v>
      </c>
      <c r="Z18" s="314"/>
      <c r="AA18" s="315"/>
      <c r="AC18" s="302" t="s">
        <v>23</v>
      </c>
      <c r="AD18" s="302"/>
      <c r="AE18" s="302"/>
      <c r="AF18" s="302"/>
      <c r="AG18" s="302"/>
      <c r="AH18" s="302"/>
      <c r="AI18" s="302"/>
      <c r="AJ18" s="302"/>
      <c r="AL18" s="303">
        <f>+IFERROR(VLOOKUP(X14,Lista!A:D,4,0)," ")</f>
        <v>0.99831081081081097</v>
      </c>
      <c r="AM18" s="303"/>
      <c r="AN18" s="303"/>
      <c r="AO18" s="11"/>
    </row>
    <row r="19" spans="2:41" x14ac:dyDescent="0.25">
      <c r="B19" s="295"/>
      <c r="C19" s="295"/>
      <c r="D19" s="295"/>
      <c r="E19" s="295"/>
      <c r="F19" s="295"/>
      <c r="G19" s="295"/>
      <c r="H19" s="295"/>
      <c r="I19" s="295"/>
      <c r="J19" s="295"/>
      <c r="K19" s="295"/>
      <c r="L19" s="295"/>
      <c r="M19" s="296"/>
      <c r="N19" s="296"/>
      <c r="O19" s="296"/>
      <c r="P19" s="296"/>
      <c r="R19" s="302"/>
      <c r="S19" s="302"/>
      <c r="T19" s="302"/>
      <c r="U19" s="302"/>
      <c r="V19" s="302"/>
      <c r="W19" s="302"/>
      <c r="Y19" s="316"/>
      <c r="Z19" s="317"/>
      <c r="AA19" s="318"/>
      <c r="AC19" s="302"/>
      <c r="AD19" s="302"/>
      <c r="AE19" s="302"/>
      <c r="AF19" s="302"/>
      <c r="AG19" s="302"/>
      <c r="AH19" s="302"/>
      <c r="AI19" s="302"/>
      <c r="AJ19" s="302"/>
      <c r="AL19" s="303"/>
      <c r="AM19" s="303"/>
      <c r="AN19" s="303"/>
      <c r="AO19" s="11"/>
    </row>
    <row r="20" spans="2:41" x14ac:dyDescent="0.25">
      <c r="B20" s="10"/>
      <c r="AO20" s="11"/>
    </row>
    <row r="21" spans="2:41" ht="11.25" customHeight="1" x14ac:dyDescent="0.25">
      <c r="B21" s="304" t="s">
        <v>24</v>
      </c>
      <c r="C21" s="304"/>
      <c r="D21" s="304"/>
      <c r="E21" s="304"/>
      <c r="F21" s="304"/>
      <c r="G21" s="304"/>
      <c r="H21" s="304"/>
      <c r="I21" s="304"/>
      <c r="J21" s="304"/>
      <c r="K21" s="304"/>
      <c r="L21" s="304"/>
      <c r="M21" s="304"/>
      <c r="N21" s="304"/>
      <c r="O21" s="304"/>
      <c r="P21" s="304"/>
      <c r="Q21" s="304"/>
      <c r="R21" s="304"/>
      <c r="S21" s="304"/>
      <c r="T21" s="304"/>
      <c r="U21" s="304"/>
      <c r="V21" s="304"/>
      <c r="W21" s="304"/>
      <c r="X21" s="305" t="s">
        <v>25</v>
      </c>
      <c r="Y21" s="305"/>
      <c r="Z21" s="305"/>
      <c r="AA21" s="305"/>
      <c r="AB21" s="305"/>
      <c r="AC21" s="305"/>
      <c r="AD21" s="305"/>
      <c r="AE21" s="305"/>
      <c r="AF21" s="305"/>
      <c r="AG21" s="305"/>
      <c r="AH21" s="305"/>
      <c r="AI21" s="305"/>
      <c r="AJ21" s="305"/>
      <c r="AK21" s="305"/>
      <c r="AL21" s="305"/>
      <c r="AM21" s="305"/>
      <c r="AN21" s="305"/>
      <c r="AO21" s="305"/>
    </row>
    <row r="22" spans="2:41" ht="11.25" customHeight="1" x14ac:dyDescent="0.25">
      <c r="B22" s="306" t="str">
        <f>VLOOKUP($X$14,Lista!A:G,6,0)</f>
        <v>John Sebastian Roncancio Avendaño</v>
      </c>
      <c r="C22" s="306"/>
      <c r="D22" s="306"/>
      <c r="E22" s="306"/>
      <c r="F22" s="306"/>
      <c r="G22" s="306"/>
      <c r="H22" s="306"/>
      <c r="I22" s="306"/>
      <c r="J22" s="306"/>
      <c r="K22" s="306"/>
      <c r="L22" s="306"/>
      <c r="M22" s="306"/>
      <c r="N22" s="306"/>
      <c r="O22" s="306"/>
      <c r="P22" s="306"/>
      <c r="Q22" s="306"/>
      <c r="R22" s="306"/>
      <c r="S22" s="306"/>
      <c r="T22" s="306"/>
      <c r="U22" s="306"/>
      <c r="V22" s="306"/>
      <c r="W22" s="306"/>
      <c r="X22" s="306"/>
      <c r="Y22" s="307" t="s">
        <v>91</v>
      </c>
      <c r="Z22" s="307"/>
      <c r="AA22" s="307"/>
      <c r="AB22" s="307"/>
      <c r="AC22" s="307"/>
      <c r="AD22" s="307"/>
      <c r="AE22" s="307"/>
      <c r="AF22" s="307"/>
      <c r="AG22" s="307"/>
      <c r="AH22" s="307"/>
      <c r="AI22" s="307"/>
      <c r="AJ22" s="307"/>
      <c r="AK22" s="307"/>
      <c r="AL22" s="307"/>
      <c r="AM22" s="307"/>
      <c r="AN22" s="307"/>
      <c r="AO22" s="307"/>
    </row>
    <row r="23" spans="2:41" x14ac:dyDescent="0.25">
      <c r="B23" s="306"/>
      <c r="C23" s="306"/>
      <c r="D23" s="306"/>
      <c r="E23" s="306"/>
      <c r="F23" s="306"/>
      <c r="G23" s="306"/>
      <c r="H23" s="306"/>
      <c r="I23" s="306"/>
      <c r="J23" s="306"/>
      <c r="K23" s="306"/>
      <c r="L23" s="306"/>
      <c r="M23" s="306"/>
      <c r="N23" s="306"/>
      <c r="O23" s="306"/>
      <c r="P23" s="306"/>
      <c r="Q23" s="306"/>
      <c r="R23" s="306"/>
      <c r="S23" s="306"/>
      <c r="T23" s="306"/>
      <c r="U23" s="306"/>
      <c r="V23" s="306"/>
      <c r="W23" s="306"/>
      <c r="X23" s="306"/>
      <c r="Y23" s="307"/>
      <c r="Z23" s="307"/>
      <c r="AA23" s="307"/>
      <c r="AB23" s="307"/>
      <c r="AC23" s="307"/>
      <c r="AD23" s="307"/>
      <c r="AE23" s="307"/>
      <c r="AF23" s="307"/>
      <c r="AG23" s="307"/>
      <c r="AH23" s="307"/>
      <c r="AI23" s="307"/>
      <c r="AJ23" s="307"/>
      <c r="AK23" s="307"/>
      <c r="AL23" s="307"/>
      <c r="AM23" s="307"/>
      <c r="AN23" s="307"/>
      <c r="AO23" s="307"/>
    </row>
    <row r="24" spans="2:41" x14ac:dyDescent="0.25">
      <c r="B24" s="10"/>
      <c r="AO24" s="11"/>
    </row>
    <row r="25" spans="2:41" ht="11.25" customHeight="1" x14ac:dyDescent="0.25">
      <c r="B25" s="282" t="s">
        <v>26</v>
      </c>
      <c r="C25" s="282"/>
      <c r="D25" s="282"/>
      <c r="E25" s="282"/>
      <c r="F25" s="282"/>
      <c r="G25" s="282"/>
      <c r="H25" s="322">
        <f>+IFERROR(_xlfn.XLOOKUP($X$14&amp;1,'Score BD'!$C:$C,'Score BD'!$AG:$AG,,0,1),"No aplica")</f>
        <v>1.0000000000000004</v>
      </c>
      <c r="I25" s="323"/>
      <c r="J25" s="323"/>
      <c r="K25" s="323"/>
      <c r="L25" s="324"/>
      <c r="N25" s="325" t="s">
        <v>27</v>
      </c>
      <c r="O25" s="325"/>
      <c r="P25" s="325"/>
      <c r="Q25" s="325"/>
      <c r="R25" s="325"/>
      <c r="S25" s="325"/>
      <c r="T25" s="326" t="str">
        <f>+IFERROR(_xlfn.XLOOKUP($X$14&amp;1,'Score BD'!$C:$C,'Score BD'!$E:$E,,0,1),"No aplica")</f>
        <v>Convalidaciones</v>
      </c>
      <c r="U25" s="326"/>
      <c r="V25" s="326"/>
      <c r="W25" s="326"/>
      <c r="X25" s="326"/>
      <c r="Y25" s="327"/>
      <c r="Z25" s="327"/>
      <c r="AB25" s="325" t="s">
        <v>28</v>
      </c>
      <c r="AC25" s="325"/>
      <c r="AD25" s="325"/>
      <c r="AE25" s="325"/>
      <c r="AF25" s="325"/>
      <c r="AG25" s="325"/>
      <c r="AH25" s="319">
        <f>+IFERROR(_xlfn.XLOOKUP($X$14&amp;1,'Score BD'!$C:$C,'Score BD'!$I:$I,,0,1),"No aplica")</f>
        <v>45965</v>
      </c>
      <c r="AI25" s="319"/>
      <c r="AJ25" s="319"/>
      <c r="AK25" s="319"/>
      <c r="AL25" s="319"/>
      <c r="AM25" s="319"/>
      <c r="AN25" s="12"/>
      <c r="AO25" s="11"/>
    </row>
    <row r="26" spans="2:41" x14ac:dyDescent="0.25">
      <c r="B26" s="10"/>
      <c r="AO26" s="11"/>
    </row>
    <row r="27" spans="2:41" x14ac:dyDescent="0.25">
      <c r="B27" s="320" t="s">
        <v>29</v>
      </c>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row>
    <row r="28" spans="2:41" ht="11.25" customHeight="1" x14ac:dyDescent="0.25">
      <c r="B28" s="321" t="str">
        <f>IFERROR(_xlfn.XLOOKUP($X$14&amp;1,'Score BD'!J:AU,31,0),"No aplica")</f>
        <v>No aplica</v>
      </c>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row>
    <row r="29" spans="2:41" x14ac:dyDescent="0.25">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row>
    <row r="30" spans="2:41" x14ac:dyDescent="0.25">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row>
    <row r="31" spans="2:41" x14ac:dyDescent="0.25">
      <c r="B31" s="320" t="s">
        <v>30</v>
      </c>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row>
    <row r="32" spans="2:41" ht="15" customHeight="1" x14ac:dyDescent="0.25">
      <c r="B32" s="321">
        <f>+IFERROR(_xlfn.XLOOKUP($X$14&amp;1,'Score BD'!$C:$C,'Score BD'!$AO:$AO,,0,1),"No aplica")</f>
        <v>0</v>
      </c>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row>
    <row r="33" spans="2:41" x14ac:dyDescent="0.25">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c r="AM33" s="321"/>
      <c r="AN33" s="321"/>
      <c r="AO33" s="321"/>
    </row>
    <row r="34" spans="2:41" x14ac:dyDescent="0.25">
      <c r="B34" s="321"/>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row>
    <row r="35" spans="2:41" ht="15" customHeight="1" x14ac:dyDescent="0.25">
      <c r="B35" s="10"/>
      <c r="AO35" s="11"/>
    </row>
    <row r="36" spans="2:41" ht="15" customHeight="1" x14ac:dyDescent="0.25">
      <c r="B36" s="282" t="s">
        <v>31</v>
      </c>
      <c r="C36" s="282"/>
      <c r="D36" s="282"/>
      <c r="E36" s="282"/>
      <c r="F36" s="282"/>
      <c r="G36" s="282"/>
      <c r="H36" s="322">
        <f>+IFERROR(_xlfn.XLOOKUP($X$14&amp;2,'Score BD'!$C:$C,'Score BD'!$AG:$AG,,0,1),"No aplica")</f>
        <v>1.0000000000000004</v>
      </c>
      <c r="I36" s="323"/>
      <c r="J36" s="323"/>
      <c r="K36" s="323"/>
      <c r="L36" s="324"/>
      <c r="N36" s="325" t="s">
        <v>27</v>
      </c>
      <c r="O36" s="325"/>
      <c r="P36" s="325"/>
      <c r="Q36" s="325"/>
      <c r="R36" s="325"/>
      <c r="S36" s="325"/>
      <c r="T36" s="326" t="str">
        <f>+IFERROR(_xlfn.XLOOKUP($X$14&amp;2,'Score BD'!$C:$C,'Score BD'!$E:$E,,0,1),"No aplica")</f>
        <v>Convalidaciones</v>
      </c>
      <c r="U36" s="326"/>
      <c r="V36" s="326"/>
      <c r="W36" s="326"/>
      <c r="X36" s="326"/>
      <c r="Y36" s="327"/>
      <c r="Z36" s="327"/>
      <c r="AB36" s="325" t="s">
        <v>28</v>
      </c>
      <c r="AC36" s="325"/>
      <c r="AD36" s="325"/>
      <c r="AE36" s="325"/>
      <c r="AF36" s="325"/>
      <c r="AG36" s="325"/>
      <c r="AH36" s="319">
        <f>+IFERROR(_xlfn.XLOOKUP($X$14&amp;2,'Score BD'!$C:$C,'Score BD'!$I:$I,,0,1),"No aplica")</f>
        <v>45965</v>
      </c>
      <c r="AI36" s="319"/>
      <c r="AJ36" s="319"/>
      <c r="AK36" s="319"/>
      <c r="AL36" s="319"/>
      <c r="AM36" s="319"/>
      <c r="AO36" s="11"/>
    </row>
    <row r="37" spans="2:41" s="5" customFormat="1" ht="4.5" customHeight="1" x14ac:dyDescent="0.25">
      <c r="B37" s="13"/>
      <c r="C37" s="14"/>
      <c r="D37" s="14"/>
      <c r="E37" s="14"/>
      <c r="F37" s="14"/>
      <c r="G37" s="14"/>
      <c r="H37" s="12"/>
      <c r="I37" s="12"/>
      <c r="J37" s="12"/>
      <c r="K37" s="12"/>
      <c r="L37" s="12"/>
      <c r="N37" s="14"/>
      <c r="O37" s="14"/>
      <c r="P37" s="14"/>
      <c r="Q37" s="14"/>
      <c r="R37" s="14"/>
      <c r="S37" s="14"/>
      <c r="T37" s="12"/>
      <c r="U37" s="12"/>
      <c r="V37" s="12"/>
      <c r="W37" s="12"/>
      <c r="X37" s="12"/>
      <c r="Y37" s="12"/>
      <c r="Z37" s="12"/>
      <c r="AB37" s="14"/>
      <c r="AC37" s="14"/>
      <c r="AD37" s="14"/>
      <c r="AE37" s="14"/>
      <c r="AF37" s="14"/>
      <c r="AG37" s="14"/>
      <c r="AH37" s="3"/>
      <c r="AI37" s="12"/>
      <c r="AJ37" s="12"/>
      <c r="AK37" s="12"/>
      <c r="AL37" s="12"/>
      <c r="AM37" s="12"/>
      <c r="AN37" s="12"/>
      <c r="AO37" s="11"/>
    </row>
    <row r="38" spans="2:41" x14ac:dyDescent="0.25">
      <c r="B38" s="320" t="s">
        <v>29</v>
      </c>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row>
    <row r="39" spans="2:41" ht="15" customHeight="1" x14ac:dyDescent="0.25">
      <c r="B39" s="321">
        <f>+IFERROR(_xlfn.XLOOKUP($X$14&amp;2,'Score BD'!$C:$C,'Score BD'!$AN:$AN,,0,1),"No aplica")</f>
        <v>0</v>
      </c>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row>
    <row r="40" spans="2:41" x14ac:dyDescent="0.25">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row>
    <row r="41" spans="2:41" x14ac:dyDescent="0.25">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row>
    <row r="42" spans="2:41" x14ac:dyDescent="0.25">
      <c r="B42" s="320" t="s">
        <v>30</v>
      </c>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row>
    <row r="43" spans="2:41" ht="15" customHeight="1" x14ac:dyDescent="0.25">
      <c r="B43" s="321">
        <f>+IFERROR(_xlfn.XLOOKUP($X$14&amp;2,'Score BD'!$C:$C,'Score BD'!$AO:$AO,,0,1),"No aplica")</f>
        <v>0</v>
      </c>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row>
    <row r="44" spans="2:41" x14ac:dyDescent="0.25">
      <c r="B44" s="32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row>
    <row r="45" spans="2:41" x14ac:dyDescent="0.25">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row>
    <row r="46" spans="2:41" ht="5.25" customHeight="1" x14ac:dyDescent="0.25">
      <c r="B46" s="10"/>
      <c r="AO46" s="11"/>
    </row>
    <row r="47" spans="2:41" ht="15" customHeight="1" x14ac:dyDescent="0.25">
      <c r="B47" s="282" t="s">
        <v>32</v>
      </c>
      <c r="C47" s="282"/>
      <c r="D47" s="282"/>
      <c r="E47" s="282"/>
      <c r="F47" s="282"/>
      <c r="G47" s="282"/>
      <c r="H47" s="322">
        <f>+IFERROR(_xlfn.XLOOKUP($X$14&amp;3,'Score BD'!$C:$C,'Score BD'!$AG:$AG,,0,1),"No aplica")</f>
        <v>1.0000000000000004</v>
      </c>
      <c r="I47" s="323"/>
      <c r="J47" s="323"/>
      <c r="K47" s="323"/>
      <c r="L47" s="324"/>
      <c r="N47" s="325" t="s">
        <v>27</v>
      </c>
      <c r="O47" s="325"/>
      <c r="P47" s="325"/>
      <c r="Q47" s="325"/>
      <c r="R47" s="325"/>
      <c r="S47" s="325"/>
      <c r="T47" s="326" t="str">
        <f>+IFERROR(_xlfn.XLOOKUP($X$14&amp;3,'Score BD'!$C:$C,'Score BD'!$E:$E,,0,1),"No aplica")</f>
        <v>Convalidaciones</v>
      </c>
      <c r="U47" s="326"/>
      <c r="V47" s="326"/>
      <c r="W47" s="326"/>
      <c r="X47" s="326"/>
      <c r="Y47" s="327"/>
      <c r="Z47" s="327"/>
      <c r="AB47" s="325" t="s">
        <v>28</v>
      </c>
      <c r="AC47" s="325"/>
      <c r="AD47" s="325"/>
      <c r="AE47" s="325"/>
      <c r="AF47" s="325"/>
      <c r="AG47" s="325"/>
      <c r="AH47" s="319">
        <f>+IFERROR(_xlfn.XLOOKUP($X$14&amp;3,'Score BD'!$C:$C,'Score BD'!$I:$I,,0,1),"No aplica")</f>
        <v>45966</v>
      </c>
      <c r="AI47" s="319"/>
      <c r="AJ47" s="319"/>
      <c r="AK47" s="319"/>
      <c r="AL47" s="319"/>
      <c r="AM47" s="319"/>
      <c r="AO47" s="11"/>
    </row>
    <row r="48" spans="2:41" s="5" customFormat="1" ht="6.75" customHeight="1" x14ac:dyDescent="0.25">
      <c r="B48" s="13"/>
      <c r="C48" s="14"/>
      <c r="D48" s="14"/>
      <c r="E48" s="14"/>
      <c r="F48" s="14"/>
      <c r="G48" s="14"/>
      <c r="H48" s="12"/>
      <c r="I48" s="12"/>
      <c r="J48" s="12"/>
      <c r="K48" s="12"/>
      <c r="L48" s="12"/>
      <c r="N48" s="14"/>
      <c r="O48" s="14"/>
      <c r="P48" s="14"/>
      <c r="Q48" s="14"/>
      <c r="R48" s="14"/>
      <c r="S48" s="14"/>
      <c r="T48" s="12"/>
      <c r="U48" s="12"/>
      <c r="V48" s="12"/>
      <c r="W48" s="12"/>
      <c r="X48" s="12"/>
      <c r="Y48" s="12"/>
      <c r="Z48" s="12"/>
      <c r="AB48" s="14"/>
      <c r="AC48" s="14"/>
      <c r="AD48" s="14"/>
      <c r="AE48" s="14"/>
      <c r="AF48" s="14"/>
      <c r="AG48" s="14"/>
      <c r="AH48" s="3"/>
      <c r="AI48" s="12"/>
      <c r="AJ48" s="12"/>
      <c r="AK48" s="12"/>
      <c r="AL48" s="12"/>
      <c r="AM48" s="12"/>
      <c r="AN48" s="12"/>
      <c r="AO48" s="11"/>
    </row>
    <row r="49" spans="2:41" x14ac:dyDescent="0.25">
      <c r="B49" s="320" t="s">
        <v>29</v>
      </c>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row>
    <row r="50" spans="2:41" ht="15" customHeight="1" x14ac:dyDescent="0.25">
      <c r="B50" s="321">
        <f>+IFERROR(_xlfn.XLOOKUP($X$14&amp;3,'Score BD'!$C:$C,'Score BD'!$AN:$AN,,0,1),"No aplica")</f>
        <v>0</v>
      </c>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row>
    <row r="51" spans="2:41" x14ac:dyDescent="0.25">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row>
    <row r="52" spans="2:41" x14ac:dyDescent="0.25">
      <c r="B52" s="32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row>
    <row r="53" spans="2:41" x14ac:dyDescent="0.25">
      <c r="B53" s="320" t="s">
        <v>30</v>
      </c>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0"/>
      <c r="AM53" s="320"/>
      <c r="AN53" s="320"/>
      <c r="AO53" s="320"/>
    </row>
    <row r="54" spans="2:41" ht="15" customHeight="1" x14ac:dyDescent="0.25">
      <c r="B54" s="321">
        <f>+IFERROR(_xlfn.XLOOKUP($X$14&amp;3,'Score BD'!$C:$C,'Score BD'!$AO:$AO,,0,1),"No aplica")</f>
        <v>0</v>
      </c>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row>
    <row r="55" spans="2:41" x14ac:dyDescent="0.25">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row>
    <row r="56" spans="2:41" x14ac:dyDescent="0.25">
      <c r="B56" s="32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row>
    <row r="57" spans="2:41" ht="7.5" customHeight="1" x14ac:dyDescent="0.25">
      <c r="B57" s="15"/>
      <c r="C57" s="16"/>
      <c r="D57" s="16"/>
      <c r="E57" s="16"/>
      <c r="F57" s="16"/>
      <c r="G57" s="16"/>
      <c r="H57" s="16"/>
      <c r="I57" s="16"/>
      <c r="J57" s="16"/>
      <c r="K57" s="16"/>
      <c r="L57" s="16"/>
      <c r="N57" s="16"/>
      <c r="O57" s="16"/>
      <c r="P57" s="16"/>
      <c r="Q57" s="16"/>
      <c r="R57" s="16"/>
      <c r="S57" s="16"/>
      <c r="T57" s="16"/>
      <c r="U57" s="16"/>
      <c r="V57" s="16"/>
      <c r="W57" s="16"/>
      <c r="X57" s="16"/>
      <c r="Y57" s="16"/>
      <c r="Z57" s="16"/>
      <c r="AB57" s="16"/>
      <c r="AC57" s="16"/>
      <c r="AD57" s="16"/>
      <c r="AE57" s="16"/>
      <c r="AF57" s="16"/>
      <c r="AG57" s="16"/>
      <c r="AO57" s="11"/>
    </row>
    <row r="58" spans="2:41" ht="15" customHeight="1" x14ac:dyDescent="0.25">
      <c r="B58" s="309" t="s">
        <v>33</v>
      </c>
      <c r="C58" s="309"/>
      <c r="D58" s="309"/>
      <c r="E58" s="309"/>
      <c r="F58" s="309"/>
      <c r="G58" s="309"/>
      <c r="H58" s="322">
        <f>+IFERROR(_xlfn.XLOOKUP($X$14&amp;4,'Score BD'!$C:$C,'Score BD'!$AG:$AG,,0,1),"No aplica")</f>
        <v>1.0000000000000004</v>
      </c>
      <c r="I58" s="323"/>
      <c r="J58" s="323"/>
      <c r="K58" s="323"/>
      <c r="L58" s="324"/>
      <c r="N58" s="328" t="s">
        <v>27</v>
      </c>
      <c r="O58" s="328"/>
      <c r="P58" s="328"/>
      <c r="Q58" s="328"/>
      <c r="R58" s="328"/>
      <c r="S58" s="328"/>
      <c r="T58" s="326" t="str">
        <f>+IFERROR(_xlfn.XLOOKUP($X$14&amp;4,'Score BD'!$C:$C,'Score BD'!$E:$E,,0,1),"No aplica")</f>
        <v>Convalidaciones</v>
      </c>
      <c r="U58" s="326"/>
      <c r="V58" s="326"/>
      <c r="W58" s="326"/>
      <c r="X58" s="326"/>
      <c r="Y58" s="326"/>
      <c r="Z58" s="326"/>
      <c r="AB58" s="302" t="s">
        <v>28</v>
      </c>
      <c r="AC58" s="302"/>
      <c r="AD58" s="302"/>
      <c r="AE58" s="302"/>
      <c r="AF58" s="302"/>
      <c r="AG58" s="302"/>
      <c r="AH58" s="319">
        <f>+IFERROR(_xlfn.XLOOKUP($X$14&amp;4,'Score BD'!$C:$C,'Score BD'!$I:$I,,0,1),"No aplica")</f>
        <v>45966</v>
      </c>
      <c r="AI58" s="319"/>
      <c r="AJ58" s="319"/>
      <c r="AK58" s="319"/>
      <c r="AL58" s="319"/>
      <c r="AM58" s="319"/>
      <c r="AO58" s="11"/>
    </row>
    <row r="59" spans="2:41" s="5" customFormat="1" ht="6.75" customHeight="1" x14ac:dyDescent="0.25">
      <c r="B59" s="10"/>
      <c r="AO59" s="11"/>
    </row>
    <row r="60" spans="2:41" x14ac:dyDescent="0.25">
      <c r="B60" s="320" t="s">
        <v>29</v>
      </c>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0"/>
      <c r="AM60" s="320"/>
      <c r="AN60" s="320"/>
      <c r="AO60" s="320"/>
    </row>
    <row r="61" spans="2:41" ht="15" customHeight="1" x14ac:dyDescent="0.25">
      <c r="B61" s="321">
        <f>+IFERROR(_xlfn.XLOOKUP($X$14&amp;4,'Score BD'!$C:$C,'Score BD'!$AN:$AN,,0,1),"No aplica")</f>
        <v>0</v>
      </c>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row>
    <row r="62" spans="2:41" x14ac:dyDescent="0.25">
      <c r="B62" s="321"/>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row>
    <row r="63" spans="2:41" x14ac:dyDescent="0.25">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row>
    <row r="64" spans="2:41" x14ac:dyDescent="0.25">
      <c r="B64" s="320" t="s">
        <v>30</v>
      </c>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row>
    <row r="65" spans="2:41" ht="15" customHeight="1" x14ac:dyDescent="0.25">
      <c r="B65" s="321">
        <f>+IFERROR(_xlfn.XLOOKUP($X$14&amp;4,'Score BD'!$C:$C,'Score BD'!$AO:$AO,,0,1),"No aplica")</f>
        <v>0</v>
      </c>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row>
    <row r="66" spans="2:41" x14ac:dyDescent="0.25">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row>
    <row r="67" spans="2:41" x14ac:dyDescent="0.25">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row>
    <row r="68" spans="2:41" s="5" customFormat="1" ht="12.75" x14ac:dyDescent="0.25">
      <c r="B68" s="10"/>
      <c r="AO68" s="11"/>
    </row>
    <row r="69" spans="2:41" ht="11.25" customHeight="1" x14ac:dyDescent="0.25">
      <c r="B69" s="309" t="s">
        <v>34</v>
      </c>
      <c r="C69" s="309"/>
      <c r="D69" s="309"/>
      <c r="E69" s="309"/>
      <c r="F69" s="309"/>
      <c r="G69" s="309"/>
      <c r="H69" s="322">
        <f>+IFERROR(_xlfn.XLOOKUP($X$14&amp;5,'Score BD'!$C:$C,'Score BD'!$AG:$AG,,0,1),"No aplica")</f>
        <v>1.0000000000000004</v>
      </c>
      <c r="I69" s="323"/>
      <c r="J69" s="323"/>
      <c r="K69" s="323"/>
      <c r="L69" s="324"/>
      <c r="N69" s="328" t="s">
        <v>27</v>
      </c>
      <c r="O69" s="328"/>
      <c r="P69" s="328"/>
      <c r="Q69" s="328"/>
      <c r="R69" s="328"/>
      <c r="S69" s="328"/>
      <c r="T69" s="326" t="str">
        <f>+IFERROR(_xlfn.XLOOKUP($X$14&amp;5,'Score BD'!$C:$C,'Score BD'!$E:$E,,0,1),"No aplica")</f>
        <v>Convalidaciones</v>
      </c>
      <c r="U69" s="326"/>
      <c r="V69" s="326"/>
      <c r="W69" s="326"/>
      <c r="X69" s="326"/>
      <c r="Y69" s="326"/>
      <c r="Z69" s="326"/>
      <c r="AB69" s="302" t="s">
        <v>28</v>
      </c>
      <c r="AC69" s="302"/>
      <c r="AD69" s="302"/>
      <c r="AE69" s="302"/>
      <c r="AF69" s="302"/>
      <c r="AG69" s="302"/>
      <c r="AH69" s="319">
        <f>+IFERROR(_xlfn.XLOOKUP($X$14&amp;5,'Score BD'!$C:$C,'Score BD'!$I:$I,,0,1),"No aplica")</f>
        <v>45967</v>
      </c>
      <c r="AI69" s="319"/>
      <c r="AJ69" s="319"/>
      <c r="AK69" s="319"/>
      <c r="AL69" s="319"/>
      <c r="AM69" s="319"/>
      <c r="AO69" s="11"/>
    </row>
    <row r="70" spans="2:41" s="5" customFormat="1" ht="12.75" x14ac:dyDescent="0.25">
      <c r="B70" s="10"/>
      <c r="AO70" s="11"/>
    </row>
    <row r="71" spans="2:41" x14ac:dyDescent="0.25">
      <c r="B71" s="320" t="s">
        <v>29</v>
      </c>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row>
    <row r="72" spans="2:41" x14ac:dyDescent="0.25">
      <c r="B72" s="321">
        <f>+IFERROR(_xlfn.XLOOKUP($X$14&amp;5,'Score BD'!$C:$C,'Score BD'!$AN:$AN,,0,1),"No aplica")</f>
        <v>0</v>
      </c>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row>
    <row r="73" spans="2:41" x14ac:dyDescent="0.25">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row>
    <row r="74" spans="2:41" x14ac:dyDescent="0.25">
      <c r="B74" s="321"/>
      <c r="C74" s="321"/>
      <c r="D74" s="321"/>
      <c r="E74" s="321"/>
      <c r="F74" s="321"/>
      <c r="G74" s="321"/>
      <c r="H74" s="321"/>
      <c r="I74" s="321"/>
      <c r="J74" s="321"/>
      <c r="K74" s="321"/>
      <c r="L74" s="321"/>
      <c r="M74" s="321"/>
      <c r="N74" s="321"/>
      <c r="O74" s="321"/>
      <c r="P74" s="321"/>
      <c r="Q74" s="321"/>
      <c r="R74" s="321"/>
      <c r="S74" s="321"/>
      <c r="T74" s="321"/>
      <c r="U74" s="321"/>
      <c r="V74" s="321"/>
      <c r="W74" s="321"/>
      <c r="X74" s="321"/>
      <c r="Y74" s="321"/>
      <c r="Z74" s="321"/>
      <c r="AA74" s="321"/>
      <c r="AB74" s="321"/>
      <c r="AC74" s="321"/>
      <c r="AD74" s="321"/>
      <c r="AE74" s="321"/>
      <c r="AF74" s="321"/>
      <c r="AG74" s="321"/>
      <c r="AH74" s="321"/>
      <c r="AI74" s="321"/>
      <c r="AJ74" s="321"/>
      <c r="AK74" s="321"/>
      <c r="AL74" s="321"/>
      <c r="AM74" s="321"/>
      <c r="AN74" s="321"/>
      <c r="AO74" s="321"/>
    </row>
    <row r="75" spans="2:41" x14ac:dyDescent="0.25">
      <c r="B75" s="320" t="s">
        <v>30</v>
      </c>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c r="AK75" s="320"/>
      <c r="AL75" s="320"/>
      <c r="AM75" s="320"/>
      <c r="AN75" s="320"/>
      <c r="AO75" s="320"/>
    </row>
    <row r="76" spans="2:41" x14ac:dyDescent="0.25">
      <c r="B76" s="321">
        <f>+IFERROR(_xlfn.XLOOKUP($X$14&amp;5,'Score BD'!$C:$C,'Score BD'!$AO:$AO,,0,1),"No aplica")</f>
        <v>0</v>
      </c>
      <c r="C76" s="321"/>
      <c r="D76" s="321"/>
      <c r="E76" s="321"/>
      <c r="F76" s="321"/>
      <c r="G76" s="321"/>
      <c r="H76" s="321"/>
      <c r="I76" s="321"/>
      <c r="J76" s="321"/>
      <c r="K76" s="321"/>
      <c r="L76" s="321"/>
      <c r="M76" s="321"/>
      <c r="N76" s="321"/>
      <c r="O76" s="321"/>
      <c r="P76" s="321"/>
      <c r="Q76" s="321"/>
      <c r="R76" s="321"/>
      <c r="S76" s="321"/>
      <c r="T76" s="321"/>
      <c r="U76" s="321"/>
      <c r="V76" s="321"/>
      <c r="W76" s="321"/>
      <c r="X76" s="321"/>
      <c r="Y76" s="321"/>
      <c r="Z76" s="321"/>
      <c r="AA76" s="321"/>
      <c r="AB76" s="321"/>
      <c r="AC76" s="321"/>
      <c r="AD76" s="321"/>
      <c r="AE76" s="321"/>
      <c r="AF76" s="321"/>
      <c r="AG76" s="321"/>
      <c r="AH76" s="321"/>
      <c r="AI76" s="321"/>
      <c r="AJ76" s="321"/>
      <c r="AK76" s="321"/>
      <c r="AL76" s="321"/>
      <c r="AM76" s="321"/>
      <c r="AN76" s="321"/>
      <c r="AO76" s="321"/>
    </row>
    <row r="77" spans="2:41" x14ac:dyDescent="0.25">
      <c r="B77" s="321"/>
      <c r="C77" s="321"/>
      <c r="D77" s="321"/>
      <c r="E77" s="321"/>
      <c r="F77" s="321"/>
      <c r="G77" s="321"/>
      <c r="H77" s="321"/>
      <c r="I77" s="321"/>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c r="AH77" s="321"/>
      <c r="AI77" s="321"/>
      <c r="AJ77" s="321"/>
      <c r="AK77" s="321"/>
      <c r="AL77" s="321"/>
      <c r="AM77" s="321"/>
      <c r="AN77" s="321"/>
      <c r="AO77" s="321"/>
    </row>
    <row r="78" spans="2:41" x14ac:dyDescent="0.25">
      <c r="B78" s="321"/>
      <c r="C78" s="321"/>
      <c r="D78" s="321"/>
      <c r="E78" s="321"/>
      <c r="F78" s="321"/>
      <c r="G78" s="321"/>
      <c r="H78" s="321"/>
      <c r="I78" s="321"/>
      <c r="J78" s="321"/>
      <c r="K78" s="321"/>
      <c r="L78" s="321"/>
      <c r="M78" s="321"/>
      <c r="N78" s="321"/>
      <c r="O78" s="321"/>
      <c r="P78" s="321"/>
      <c r="Q78" s="321"/>
      <c r="R78" s="321"/>
      <c r="S78" s="321"/>
      <c r="T78" s="321"/>
      <c r="U78" s="321"/>
      <c r="V78" s="321"/>
      <c r="W78" s="321"/>
      <c r="X78" s="321"/>
      <c r="Y78" s="321"/>
      <c r="Z78" s="321"/>
      <c r="AA78" s="321"/>
      <c r="AB78" s="321"/>
      <c r="AC78" s="321"/>
      <c r="AD78" s="321"/>
      <c r="AE78" s="321"/>
      <c r="AF78" s="321"/>
      <c r="AG78" s="321"/>
      <c r="AH78" s="321"/>
      <c r="AI78" s="321"/>
      <c r="AJ78" s="321"/>
      <c r="AK78" s="321"/>
      <c r="AL78" s="321"/>
      <c r="AM78" s="321"/>
      <c r="AN78" s="321"/>
      <c r="AO78" s="321"/>
    </row>
    <row r="79" spans="2:41" x14ac:dyDescent="0.25">
      <c r="B79" s="15"/>
      <c r="C79" s="16"/>
      <c r="D79" s="16"/>
      <c r="E79" s="16"/>
      <c r="F79" s="16"/>
      <c r="G79" s="16"/>
      <c r="H79" s="16"/>
      <c r="I79" s="16"/>
      <c r="J79" s="16"/>
      <c r="K79" s="16"/>
      <c r="L79" s="16"/>
      <c r="N79" s="16"/>
      <c r="O79" s="16"/>
      <c r="P79" s="16"/>
      <c r="Q79" s="16"/>
      <c r="R79" s="16"/>
      <c r="S79" s="16"/>
      <c r="T79" s="16"/>
      <c r="U79" s="16"/>
      <c r="V79" s="16"/>
      <c r="W79" s="16"/>
      <c r="X79" s="16"/>
      <c r="Y79" s="16"/>
      <c r="Z79" s="16"/>
      <c r="AB79" s="16"/>
      <c r="AC79" s="16"/>
      <c r="AD79" s="16"/>
      <c r="AE79" s="16"/>
      <c r="AF79" s="16"/>
      <c r="AG79" s="16"/>
      <c r="AO79" s="11"/>
    </row>
    <row r="80" spans="2:41" ht="11.25" customHeight="1" x14ac:dyDescent="0.25">
      <c r="B80" s="309" t="s">
        <v>35</v>
      </c>
      <c r="C80" s="309"/>
      <c r="D80" s="309"/>
      <c r="E80" s="309"/>
      <c r="F80" s="309"/>
      <c r="G80" s="309"/>
      <c r="H80" s="322">
        <f>+IFERROR(_xlfn.XLOOKUP($X$14&amp;6,'Score BD'!$C:$C,'Score BD'!$AG:$AG,,0,1),"No aplica")</f>
        <v>1.0000000000000004</v>
      </c>
      <c r="I80" s="323"/>
      <c r="J80" s="323"/>
      <c r="K80" s="323"/>
      <c r="L80" s="324"/>
      <c r="N80" s="328" t="s">
        <v>27</v>
      </c>
      <c r="O80" s="328"/>
      <c r="P80" s="328"/>
      <c r="Q80" s="328"/>
      <c r="R80" s="328"/>
      <c r="S80" s="328"/>
      <c r="T80" s="326" t="str">
        <f>+IFERROR(_xlfn.XLOOKUP($X$14&amp;6,'Score BD'!$C:$C,'Score BD'!$E:$E,,0,1),"No aplica")</f>
        <v>Convalidaciones</v>
      </c>
      <c r="U80" s="326"/>
      <c r="V80" s="326"/>
      <c r="W80" s="326"/>
      <c r="X80" s="326"/>
      <c r="Y80" s="326"/>
      <c r="Z80" s="326"/>
      <c r="AB80" s="302" t="s">
        <v>28</v>
      </c>
      <c r="AC80" s="302"/>
      <c r="AD80" s="302"/>
      <c r="AE80" s="302"/>
      <c r="AF80" s="302"/>
      <c r="AG80" s="302"/>
      <c r="AH80" s="319">
        <f>+IFERROR(_xlfn.XLOOKUP($X$14&amp;6,'Score BD'!$C:$C,'Score BD'!$I:$I,,0,1),"No aplica")</f>
        <v>45967</v>
      </c>
      <c r="AI80" s="319"/>
      <c r="AJ80" s="319"/>
      <c r="AK80" s="319"/>
      <c r="AL80" s="319"/>
      <c r="AM80" s="319"/>
      <c r="AO80" s="11"/>
    </row>
    <row r="81" spans="2:41" s="5" customFormat="1" ht="12.75" x14ac:dyDescent="0.25">
      <c r="B81" s="10"/>
      <c r="AO81" s="11"/>
    </row>
    <row r="82" spans="2:41" x14ac:dyDescent="0.25">
      <c r="B82" s="320" t="s">
        <v>29</v>
      </c>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row>
    <row r="83" spans="2:41" x14ac:dyDescent="0.25">
      <c r="B83" s="321">
        <f>+IFERROR(_xlfn.XLOOKUP($X$14&amp;6,'Score BD'!$C:$C,'Score BD'!$AN:$AN,,0,1),"No aplica")</f>
        <v>0</v>
      </c>
      <c r="C83" s="321"/>
      <c r="D83" s="321"/>
      <c r="E83" s="321"/>
      <c r="F83" s="321"/>
      <c r="G83" s="321"/>
      <c r="H83" s="321"/>
      <c r="I83" s="321"/>
      <c r="J83" s="321"/>
      <c r="K83" s="321"/>
      <c r="L83" s="321"/>
      <c r="M83" s="321"/>
      <c r="N83" s="321"/>
      <c r="O83" s="321"/>
      <c r="P83" s="321"/>
      <c r="Q83" s="321"/>
      <c r="R83" s="321"/>
      <c r="S83" s="321"/>
      <c r="T83" s="321"/>
      <c r="U83" s="321"/>
      <c r="V83" s="321"/>
      <c r="W83" s="321"/>
      <c r="X83" s="321"/>
      <c r="Y83" s="321"/>
      <c r="Z83" s="321"/>
      <c r="AA83" s="321"/>
      <c r="AB83" s="321"/>
      <c r="AC83" s="321"/>
      <c r="AD83" s="321"/>
      <c r="AE83" s="321"/>
      <c r="AF83" s="321"/>
      <c r="AG83" s="321"/>
      <c r="AH83" s="321"/>
      <c r="AI83" s="321"/>
      <c r="AJ83" s="321"/>
      <c r="AK83" s="321"/>
      <c r="AL83" s="321"/>
      <c r="AM83" s="321"/>
      <c r="AN83" s="321"/>
      <c r="AO83" s="321"/>
    </row>
    <row r="84" spans="2:41" x14ac:dyDescent="0.25">
      <c r="B84" s="321"/>
      <c r="C84" s="321"/>
      <c r="D84" s="321"/>
      <c r="E84" s="321"/>
      <c r="F84" s="321"/>
      <c r="G84" s="321"/>
      <c r="H84" s="321"/>
      <c r="I84" s="321"/>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c r="AH84" s="321"/>
      <c r="AI84" s="321"/>
      <c r="AJ84" s="321"/>
      <c r="AK84" s="321"/>
      <c r="AL84" s="321"/>
      <c r="AM84" s="321"/>
      <c r="AN84" s="321"/>
      <c r="AO84" s="321"/>
    </row>
    <row r="85" spans="2:41" x14ac:dyDescent="0.25">
      <c r="B85" s="321"/>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row>
    <row r="86" spans="2:41" x14ac:dyDescent="0.25">
      <c r="B86" s="320" t="s">
        <v>30</v>
      </c>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320"/>
      <c r="AH86" s="320"/>
      <c r="AI86" s="320"/>
      <c r="AJ86" s="320"/>
      <c r="AK86" s="320"/>
      <c r="AL86" s="320"/>
      <c r="AM86" s="320"/>
      <c r="AN86" s="320"/>
      <c r="AO86" s="320"/>
    </row>
    <row r="87" spans="2:41" x14ac:dyDescent="0.25">
      <c r="B87" s="321">
        <f>+IFERROR(_xlfn.XLOOKUP($X$14&amp;6,'Score BD'!$C:$C,'Score BD'!$AO:$AO,,0,1),"No aplica")</f>
        <v>0</v>
      </c>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row>
    <row r="88" spans="2:41" x14ac:dyDescent="0.25">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row>
    <row r="89" spans="2:41" x14ac:dyDescent="0.25">
      <c r="B89" s="321"/>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row>
    <row r="90" spans="2:41" x14ac:dyDescent="0.25">
      <c r="B90" s="10"/>
      <c r="AO90" s="11"/>
    </row>
    <row r="91" spans="2:41" ht="11.25" customHeight="1" x14ac:dyDescent="0.25">
      <c r="B91" s="309" t="s">
        <v>36</v>
      </c>
      <c r="C91" s="309"/>
      <c r="D91" s="309"/>
      <c r="E91" s="309"/>
      <c r="F91" s="309"/>
      <c r="G91" s="309"/>
      <c r="H91" s="322">
        <f>+IFERROR(_xlfn.XLOOKUP($X$14&amp;7,'Score BD'!$C:$C,'Score BD'!$AG:$AG,,0,1),"No aplica")</f>
        <v>1.0000000000000004</v>
      </c>
      <c r="I91" s="323"/>
      <c r="J91" s="323"/>
      <c r="K91" s="323"/>
      <c r="L91" s="324"/>
      <c r="N91" s="328" t="s">
        <v>27</v>
      </c>
      <c r="O91" s="328"/>
      <c r="P91" s="328"/>
      <c r="Q91" s="328"/>
      <c r="R91" s="328"/>
      <c r="S91" s="328"/>
      <c r="T91" s="326" t="str">
        <f>+IFERROR(_xlfn.XLOOKUP($X$14&amp;7,'Score BD'!$C:$C,'Score BD'!$E:$E,,0,1),"No aplica")</f>
        <v>Convalidaciones</v>
      </c>
      <c r="U91" s="326"/>
      <c r="V91" s="326"/>
      <c r="W91" s="326"/>
      <c r="X91" s="326"/>
      <c r="Y91" s="326"/>
      <c r="Z91" s="326"/>
      <c r="AB91" s="302" t="s">
        <v>28</v>
      </c>
      <c r="AC91" s="302"/>
      <c r="AD91" s="302"/>
      <c r="AE91" s="302"/>
      <c r="AF91" s="302"/>
      <c r="AG91" s="302"/>
      <c r="AH91" s="319">
        <f>+IFERROR(_xlfn.XLOOKUP($X$14&amp;7,'Score BD'!$C:$C,'Score BD'!$I:$I,,0,1),"No aplica")</f>
        <v>45967</v>
      </c>
      <c r="AI91" s="319"/>
      <c r="AJ91" s="319"/>
      <c r="AK91" s="319"/>
      <c r="AL91" s="319"/>
      <c r="AM91" s="319"/>
      <c r="AO91" s="11"/>
    </row>
    <row r="92" spans="2:41" x14ac:dyDescent="0.25">
      <c r="B92" s="10"/>
      <c r="AO92" s="11"/>
    </row>
    <row r="93" spans="2:41" x14ac:dyDescent="0.25">
      <c r="B93" s="320" t="s">
        <v>29</v>
      </c>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c r="AA93" s="320"/>
      <c r="AB93" s="320"/>
      <c r="AC93" s="320"/>
      <c r="AD93" s="320"/>
      <c r="AE93" s="320"/>
      <c r="AF93" s="320"/>
      <c r="AG93" s="320"/>
      <c r="AH93" s="320"/>
      <c r="AI93" s="320"/>
      <c r="AJ93" s="320"/>
      <c r="AK93" s="320"/>
      <c r="AL93" s="320"/>
      <c r="AM93" s="320"/>
      <c r="AN93" s="320"/>
      <c r="AO93" s="320"/>
    </row>
    <row r="94" spans="2:41" x14ac:dyDescent="0.25">
      <c r="B94" s="321">
        <f>+IFERROR(_xlfn.XLOOKUP($X$14&amp;7,'Score BD'!$C:$C,'Score BD'!$AN:$AN,,0,1),"No aplica")</f>
        <v>0</v>
      </c>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row>
    <row r="95" spans="2:41" x14ac:dyDescent="0.25">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row>
    <row r="96" spans="2:41" x14ac:dyDescent="0.25">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row>
    <row r="97" spans="2:41" x14ac:dyDescent="0.25">
      <c r="B97" s="320" t="s">
        <v>30</v>
      </c>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c r="AA97" s="320"/>
      <c r="AB97" s="320"/>
      <c r="AC97" s="320"/>
      <c r="AD97" s="320"/>
      <c r="AE97" s="320"/>
      <c r="AF97" s="320"/>
      <c r="AG97" s="320"/>
      <c r="AH97" s="320"/>
      <c r="AI97" s="320"/>
      <c r="AJ97" s="320"/>
      <c r="AK97" s="320"/>
      <c r="AL97" s="320"/>
      <c r="AM97" s="320"/>
      <c r="AN97" s="320"/>
      <c r="AO97" s="320"/>
    </row>
    <row r="98" spans="2:41" x14ac:dyDescent="0.25">
      <c r="B98" s="321">
        <f>+IFERROR(_xlfn.XLOOKUP($X$14&amp;7,'Score BD'!$C:$C,'Score BD'!$AO:$AO,,0,1),"No aplica")</f>
        <v>0</v>
      </c>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row>
    <row r="99" spans="2:41" x14ac:dyDescent="0.25">
      <c r="B99" s="321"/>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row>
    <row r="100" spans="2:41" x14ac:dyDescent="0.25">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row>
    <row r="101" spans="2:41" x14ac:dyDescent="0.25">
      <c r="B101" s="15"/>
      <c r="C101" s="16"/>
      <c r="D101" s="16"/>
      <c r="E101" s="16"/>
      <c r="F101" s="16"/>
      <c r="G101" s="16"/>
      <c r="H101" s="16"/>
      <c r="I101" s="16"/>
      <c r="J101" s="16"/>
      <c r="K101" s="16"/>
      <c r="L101" s="16"/>
      <c r="N101" s="16"/>
      <c r="O101" s="16"/>
      <c r="P101" s="16"/>
      <c r="Q101" s="16"/>
      <c r="R101" s="16"/>
      <c r="S101" s="16"/>
      <c r="T101" s="16"/>
      <c r="U101" s="16"/>
      <c r="V101" s="16"/>
      <c r="W101" s="16"/>
      <c r="X101" s="16"/>
      <c r="Y101" s="16"/>
      <c r="Z101" s="16"/>
      <c r="AB101" s="16"/>
      <c r="AC101" s="16"/>
      <c r="AD101" s="16"/>
      <c r="AE101" s="16"/>
      <c r="AF101" s="16"/>
      <c r="AG101" s="16"/>
      <c r="AO101" s="11"/>
    </row>
    <row r="102" spans="2:41" ht="11.25" customHeight="1" x14ac:dyDescent="0.25">
      <c r="B102" s="309" t="s">
        <v>37</v>
      </c>
      <c r="C102" s="309"/>
      <c r="D102" s="309"/>
      <c r="E102" s="309"/>
      <c r="F102" s="309"/>
      <c r="G102" s="309"/>
      <c r="H102" s="322">
        <f>+IFERROR(_xlfn.XLOOKUP($X$14&amp;8,'Score BD'!$C:$C,'Score BD'!$AG:$AG,,0,1),"No aplica")</f>
        <v>1.0000000000000004</v>
      </c>
      <c r="I102" s="323"/>
      <c r="J102" s="323"/>
      <c r="K102" s="323"/>
      <c r="L102" s="324"/>
      <c r="N102" s="328" t="s">
        <v>27</v>
      </c>
      <c r="O102" s="328"/>
      <c r="P102" s="328"/>
      <c r="Q102" s="328"/>
      <c r="R102" s="328"/>
      <c r="S102" s="328"/>
      <c r="T102" s="326" t="str">
        <f>+IFERROR(_xlfn.XLOOKUP($X$14&amp;8,'Score BD'!$C:$C,'Score BD'!$E:$E,,0,1),"No aplica")</f>
        <v>Convalidaciones</v>
      </c>
      <c r="U102" s="326"/>
      <c r="V102" s="326"/>
      <c r="W102" s="326"/>
      <c r="X102" s="326"/>
      <c r="Y102" s="326"/>
      <c r="Z102" s="326"/>
      <c r="AB102" s="302" t="s">
        <v>28</v>
      </c>
      <c r="AC102" s="302"/>
      <c r="AD102" s="302"/>
      <c r="AE102" s="302"/>
      <c r="AF102" s="302"/>
      <c r="AG102" s="302"/>
      <c r="AH102" s="319">
        <f>+IFERROR(_xlfn.XLOOKUP($X$14&amp;8,'Score BD'!$C:$C,'Score BD'!$I:$I,,0,1),"No aplica")</f>
        <v>45968</v>
      </c>
      <c r="AI102" s="319"/>
      <c r="AJ102" s="319"/>
      <c r="AK102" s="319"/>
      <c r="AL102" s="319"/>
      <c r="AM102" s="319"/>
      <c r="AO102" s="11"/>
    </row>
    <row r="103" spans="2:41" x14ac:dyDescent="0.25">
      <c r="B103" s="10"/>
      <c r="AO103" s="11"/>
    </row>
    <row r="104" spans="2:41" x14ac:dyDescent="0.25">
      <c r="B104" s="320" t="s">
        <v>29</v>
      </c>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c r="AI104" s="320"/>
      <c r="AJ104" s="320"/>
      <c r="AK104" s="320"/>
      <c r="AL104" s="320"/>
      <c r="AM104" s="320"/>
      <c r="AN104" s="320"/>
      <c r="AO104" s="320"/>
    </row>
    <row r="105" spans="2:41" x14ac:dyDescent="0.25">
      <c r="B105" s="321">
        <f>+IFERROR(_xlfn.XLOOKUP($X$14&amp;8,'Score BD'!$C:$C,'Score BD'!$AN:$AN,,0,1),"No aplica")</f>
        <v>0</v>
      </c>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c r="AI105" s="321"/>
      <c r="AJ105" s="321"/>
      <c r="AK105" s="321"/>
      <c r="AL105" s="321"/>
      <c r="AM105" s="321"/>
      <c r="AN105" s="321"/>
      <c r="AO105" s="321"/>
    </row>
    <row r="106" spans="2:41" x14ac:dyDescent="0.25">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c r="AI106" s="321"/>
      <c r="AJ106" s="321"/>
      <c r="AK106" s="321"/>
      <c r="AL106" s="321"/>
      <c r="AM106" s="321"/>
      <c r="AN106" s="321"/>
      <c r="AO106" s="321"/>
    </row>
    <row r="107" spans="2:41" x14ac:dyDescent="0.25">
      <c r="B107" s="320" t="s">
        <v>30</v>
      </c>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c r="AF107" s="320"/>
      <c r="AG107" s="320"/>
      <c r="AH107" s="320"/>
      <c r="AI107" s="320"/>
      <c r="AJ107" s="320"/>
      <c r="AK107" s="320"/>
      <c r="AL107" s="320"/>
      <c r="AM107" s="320"/>
      <c r="AN107" s="320"/>
      <c r="AO107" s="320"/>
    </row>
    <row r="108" spans="2:41" x14ac:dyDescent="0.25">
      <c r="B108" s="321">
        <f>+IFERROR(_xlfn.XLOOKUP($X$14&amp;8,'Score BD'!$C:$C,'Score BD'!$AO:$AO,,0,1),"No aplica")</f>
        <v>0</v>
      </c>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1"/>
      <c r="AJ108" s="321"/>
      <c r="AK108" s="321"/>
      <c r="AL108" s="321"/>
      <c r="AM108" s="321"/>
      <c r="AN108" s="321"/>
      <c r="AO108" s="321"/>
    </row>
    <row r="109" spans="2:41" x14ac:dyDescent="0.25">
      <c r="B109" s="321"/>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row>
    <row r="110" spans="2:41" x14ac:dyDescent="0.25">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c r="AI110" s="321"/>
      <c r="AJ110" s="321"/>
      <c r="AK110" s="321"/>
      <c r="AL110" s="321"/>
      <c r="AM110" s="321"/>
      <c r="AN110" s="321"/>
      <c r="AO110" s="321"/>
    </row>
    <row r="111" spans="2:41" x14ac:dyDescent="0.25">
      <c r="B111" s="17"/>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8"/>
    </row>
    <row r="112" spans="2:41" ht="11.25" customHeight="1" x14ac:dyDescent="0.25">
      <c r="B112" s="309" t="s">
        <v>38</v>
      </c>
      <c r="C112" s="309"/>
      <c r="D112" s="309"/>
      <c r="E112" s="309"/>
      <c r="F112" s="309"/>
      <c r="G112" s="309"/>
      <c r="H112" s="322">
        <f>+IFERROR(_xlfn.XLOOKUP($X$14&amp;9,'Score BD'!$C:$C,'Score BD'!$AG:$AG,,0,1),"No aplica")</f>
        <v>1.0000000000000004</v>
      </c>
      <c r="I112" s="323"/>
      <c r="J112" s="323"/>
      <c r="K112" s="323"/>
      <c r="L112" s="324"/>
      <c r="N112" s="328" t="s">
        <v>27</v>
      </c>
      <c r="O112" s="328"/>
      <c r="P112" s="328"/>
      <c r="Q112" s="328"/>
      <c r="R112" s="328"/>
      <c r="S112" s="328"/>
      <c r="T112" s="326" t="str">
        <f>+IFERROR(_xlfn.XLOOKUP($X$14&amp;9,'Score BD'!$C:$C,'Score BD'!$E:$E,,0,1),"No aplica")</f>
        <v>Convalidaciones</v>
      </c>
      <c r="U112" s="326"/>
      <c r="V112" s="326"/>
      <c r="W112" s="326"/>
      <c r="X112" s="326"/>
      <c r="Y112" s="326"/>
      <c r="Z112" s="326"/>
      <c r="AB112" s="302" t="s">
        <v>28</v>
      </c>
      <c r="AC112" s="302"/>
      <c r="AD112" s="302"/>
      <c r="AE112" s="302"/>
      <c r="AF112" s="302"/>
      <c r="AG112" s="302"/>
      <c r="AH112" s="319">
        <f>+IFERROR(_xlfn.XLOOKUP($X$14&amp;9,'Score BD'!$C:$C,'Score BD'!$I:$I,,0,1),"No aplica")</f>
        <v>45968</v>
      </c>
      <c r="AI112" s="319"/>
      <c r="AJ112" s="319"/>
      <c r="AK112" s="319"/>
      <c r="AL112" s="319"/>
      <c r="AM112" s="319"/>
      <c r="AO112" s="11"/>
    </row>
    <row r="113" spans="2:41" x14ac:dyDescent="0.25">
      <c r="B113" s="10"/>
      <c r="AO113" s="11"/>
    </row>
    <row r="114" spans="2:41" x14ac:dyDescent="0.25">
      <c r="B114" s="320" t="s">
        <v>29</v>
      </c>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c r="AI114" s="320"/>
      <c r="AJ114" s="320"/>
      <c r="AK114" s="320"/>
      <c r="AL114" s="320"/>
      <c r="AM114" s="320"/>
      <c r="AN114" s="320"/>
      <c r="AO114" s="320"/>
    </row>
    <row r="115" spans="2:41" x14ac:dyDescent="0.25">
      <c r="B115" s="321">
        <f>+IFERROR(_xlfn.XLOOKUP($X$14&amp;9,'Score BD'!$C:$C,'Score BD'!$AN:$AN,,0,1),"No aplica")</f>
        <v>0</v>
      </c>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c r="AI115" s="321"/>
      <c r="AJ115" s="321"/>
      <c r="AK115" s="321"/>
      <c r="AL115" s="321"/>
      <c r="AM115" s="321"/>
      <c r="AN115" s="321"/>
      <c r="AO115" s="321"/>
    </row>
    <row r="116" spans="2:41" x14ac:dyDescent="0.25">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c r="AI116" s="321"/>
      <c r="AJ116" s="321"/>
      <c r="AK116" s="321"/>
      <c r="AL116" s="321"/>
      <c r="AM116" s="321"/>
      <c r="AN116" s="321"/>
      <c r="AO116" s="321"/>
    </row>
    <row r="117" spans="2:41" x14ac:dyDescent="0.25">
      <c r="B117" s="320" t="s">
        <v>30</v>
      </c>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c r="AI117" s="320"/>
      <c r="AJ117" s="320"/>
      <c r="AK117" s="320"/>
      <c r="AL117" s="320"/>
      <c r="AM117" s="320"/>
      <c r="AN117" s="320"/>
      <c r="AO117" s="320"/>
    </row>
    <row r="118" spans="2:41" x14ac:dyDescent="0.25">
      <c r="B118" s="321">
        <f>+IFERROR(_xlfn.XLOOKUP($X$14&amp;9,'Score BD'!$C:$C,'Score BD'!$AO:$AO,,0,1),"No aplica")</f>
        <v>0</v>
      </c>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c r="AI118" s="321"/>
      <c r="AJ118" s="321"/>
      <c r="AK118" s="321"/>
      <c r="AL118" s="321"/>
      <c r="AM118" s="321"/>
      <c r="AN118" s="321"/>
      <c r="AO118" s="321"/>
    </row>
    <row r="119" spans="2:41" x14ac:dyDescent="0.25">
      <c r="B119" s="321"/>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c r="AI119" s="321"/>
      <c r="AJ119" s="321"/>
      <c r="AK119" s="321"/>
      <c r="AL119" s="321"/>
      <c r="AM119" s="321"/>
      <c r="AN119" s="321"/>
      <c r="AO119" s="321"/>
    </row>
    <row r="120" spans="2:41" x14ac:dyDescent="0.25">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c r="AI120" s="321"/>
      <c r="AJ120" s="321"/>
      <c r="AK120" s="321"/>
      <c r="AL120" s="321"/>
      <c r="AM120" s="321"/>
      <c r="AN120" s="321"/>
      <c r="AO120" s="321"/>
    </row>
    <row r="121" spans="2:41" x14ac:dyDescent="0.25">
      <c r="B121" s="17"/>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8"/>
    </row>
    <row r="122" spans="2:41" ht="11.25" customHeight="1" x14ac:dyDescent="0.25">
      <c r="B122" s="309" t="s">
        <v>39</v>
      </c>
      <c r="C122" s="309"/>
      <c r="D122" s="309"/>
      <c r="E122" s="309"/>
      <c r="F122" s="309"/>
      <c r="G122" s="309"/>
      <c r="H122" s="322">
        <f>+IFERROR(_xlfn.XLOOKUP($X$14&amp;10,'Score BD'!$C:$C,'Score BD'!$AG:$AG,,0,1),"No aplica")</f>
        <v>1.0000000000000004</v>
      </c>
      <c r="I122" s="323"/>
      <c r="J122" s="323"/>
      <c r="K122" s="323"/>
      <c r="L122" s="324"/>
      <c r="N122" s="328" t="s">
        <v>27</v>
      </c>
      <c r="O122" s="328"/>
      <c r="P122" s="328"/>
      <c r="Q122" s="328"/>
      <c r="R122" s="328"/>
      <c r="S122" s="328"/>
      <c r="T122" s="326" t="str">
        <f>+IFERROR(_xlfn.XLOOKUP($X$14&amp;10,'Score BD'!$C:$C,'Score BD'!$E:$E,,0,1),"No aplica")</f>
        <v>Convalidaciones</v>
      </c>
      <c r="U122" s="326"/>
      <c r="V122" s="326"/>
      <c r="W122" s="326"/>
      <c r="X122" s="326"/>
      <c r="Y122" s="326"/>
      <c r="Z122" s="326"/>
      <c r="AB122" s="302" t="s">
        <v>28</v>
      </c>
      <c r="AC122" s="302"/>
      <c r="AD122" s="302"/>
      <c r="AE122" s="302"/>
      <c r="AF122" s="302"/>
      <c r="AG122" s="302"/>
      <c r="AH122" s="319">
        <f>+IFERROR(_xlfn.XLOOKUP($X$14&amp;10,'Score BD'!$C:$C,'Score BD'!$I:$I,,0,1),"No aplica")</f>
        <v>45968</v>
      </c>
      <c r="AI122" s="319"/>
      <c r="AJ122" s="319"/>
      <c r="AK122" s="319"/>
      <c r="AL122" s="319"/>
      <c r="AM122" s="319"/>
      <c r="AO122" s="11"/>
    </row>
    <row r="123" spans="2:41" x14ac:dyDescent="0.25">
      <c r="B123" s="10"/>
      <c r="AO123" s="11"/>
    </row>
    <row r="124" spans="2:41" x14ac:dyDescent="0.25">
      <c r="B124" s="320" t="s">
        <v>29</v>
      </c>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c r="AD124" s="320"/>
      <c r="AE124" s="320"/>
      <c r="AF124" s="320"/>
      <c r="AG124" s="320"/>
      <c r="AH124" s="320"/>
      <c r="AI124" s="320"/>
      <c r="AJ124" s="320"/>
      <c r="AK124" s="320"/>
      <c r="AL124" s="320"/>
      <c r="AM124" s="320"/>
      <c r="AN124" s="320"/>
      <c r="AO124" s="320"/>
    </row>
    <row r="125" spans="2:41" x14ac:dyDescent="0.25">
      <c r="B125" s="321">
        <f>+IFERROR(_xlfn.XLOOKUP($X$14&amp;10,'Score BD'!$C:$C,'Score BD'!$AN:$AN,,0,1),"No aplica")</f>
        <v>0</v>
      </c>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21"/>
      <c r="AK125" s="321"/>
      <c r="AL125" s="321"/>
      <c r="AM125" s="321"/>
      <c r="AN125" s="321"/>
      <c r="AO125" s="321"/>
    </row>
    <row r="126" spans="2:41" x14ac:dyDescent="0.25">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row>
    <row r="127" spans="2:41" x14ac:dyDescent="0.25">
      <c r="B127" s="320" t="s">
        <v>30</v>
      </c>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c r="AD127" s="320"/>
      <c r="AE127" s="320"/>
      <c r="AF127" s="320"/>
      <c r="AG127" s="320"/>
      <c r="AH127" s="320"/>
      <c r="AI127" s="320"/>
      <c r="AJ127" s="320"/>
      <c r="AK127" s="320"/>
      <c r="AL127" s="320"/>
      <c r="AM127" s="320"/>
      <c r="AN127" s="320"/>
      <c r="AO127" s="320"/>
    </row>
    <row r="128" spans="2:41" x14ac:dyDescent="0.25">
      <c r="B128" s="321">
        <f>+IFERROR(_xlfn.XLOOKUP($X$14&amp;10,'Score BD'!$C:$C,'Score BD'!$AO:$AO,,0,1),"No aplica")</f>
        <v>0</v>
      </c>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row>
    <row r="129" spans="2:41" x14ac:dyDescent="0.25">
      <c r="B129" s="321"/>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c r="AI129" s="321"/>
      <c r="AJ129" s="321"/>
      <c r="AK129" s="321"/>
      <c r="AL129" s="321"/>
      <c r="AM129" s="321"/>
      <c r="AN129" s="321"/>
      <c r="AO129" s="321"/>
    </row>
    <row r="130" spans="2:41" x14ac:dyDescent="0.25">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c r="AI130" s="321"/>
      <c r="AJ130" s="321"/>
      <c r="AK130" s="321"/>
      <c r="AL130" s="321"/>
      <c r="AM130" s="321"/>
      <c r="AN130" s="321"/>
      <c r="AO130" s="321"/>
    </row>
    <row r="131" spans="2:41" x14ac:dyDescent="0.25">
      <c r="B131" s="17"/>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8"/>
    </row>
    <row r="132" spans="2:41" ht="11.25" customHeight="1" x14ac:dyDescent="0.25">
      <c r="B132" s="309" t="s">
        <v>40</v>
      </c>
      <c r="C132" s="309"/>
      <c r="D132" s="309"/>
      <c r="E132" s="309"/>
      <c r="F132" s="309"/>
      <c r="G132" s="309"/>
      <c r="H132" s="322">
        <f>+IFERROR(_xlfn.XLOOKUP($X$14&amp;11,'Score BD'!$C:$C,'Score BD'!$AG:$AG,,0,1),"No aplica")</f>
        <v>1.0000000000000004</v>
      </c>
      <c r="I132" s="323"/>
      <c r="J132" s="323"/>
      <c r="K132" s="323"/>
      <c r="L132" s="324"/>
      <c r="N132" s="328" t="s">
        <v>27</v>
      </c>
      <c r="O132" s="328"/>
      <c r="P132" s="328"/>
      <c r="Q132" s="328"/>
      <c r="R132" s="328"/>
      <c r="S132" s="328"/>
      <c r="T132" s="326" t="str">
        <f>+IFERROR(_xlfn.XLOOKUP($X$14&amp;11,'Score BD'!$C:$C,'Score BD'!$E:$E,,0,1),"No aplica")</f>
        <v>Convalidaciones</v>
      </c>
      <c r="U132" s="326"/>
      <c r="V132" s="326"/>
      <c r="W132" s="326"/>
      <c r="X132" s="326"/>
      <c r="Y132" s="326"/>
      <c r="Z132" s="326"/>
      <c r="AB132" s="302" t="s">
        <v>28</v>
      </c>
      <c r="AC132" s="302"/>
      <c r="AD132" s="302"/>
      <c r="AE132" s="302"/>
      <c r="AF132" s="302"/>
      <c r="AG132" s="302"/>
      <c r="AH132" s="319">
        <f>+IFERROR(_xlfn.XLOOKUP($X$14&amp;11,'Score BD'!$C:$C,'Score BD'!$I:$I,,0,1),"No aplica")</f>
        <v>45968</v>
      </c>
      <c r="AI132" s="319"/>
      <c r="AJ132" s="319"/>
      <c r="AK132" s="319"/>
      <c r="AL132" s="319"/>
      <c r="AM132" s="319"/>
      <c r="AO132" s="11"/>
    </row>
    <row r="133" spans="2:41" x14ac:dyDescent="0.25">
      <c r="B133" s="10"/>
      <c r="AO133" s="11"/>
    </row>
    <row r="134" spans="2:41" x14ac:dyDescent="0.25">
      <c r="B134" s="320" t="s">
        <v>29</v>
      </c>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c r="AA134" s="320"/>
      <c r="AB134" s="320"/>
      <c r="AC134" s="320"/>
      <c r="AD134" s="320"/>
      <c r="AE134" s="320"/>
      <c r="AF134" s="320"/>
      <c r="AG134" s="320"/>
      <c r="AH134" s="320"/>
      <c r="AI134" s="320"/>
      <c r="AJ134" s="320"/>
      <c r="AK134" s="320"/>
      <c r="AL134" s="320"/>
      <c r="AM134" s="320"/>
      <c r="AN134" s="320"/>
      <c r="AO134" s="320"/>
    </row>
    <row r="135" spans="2:41" x14ac:dyDescent="0.25">
      <c r="B135" s="321">
        <f>+IFERROR(_xlfn.XLOOKUP($X$14&amp;11,'Score BD'!$C:$C,'Score BD'!$AN:$AN,,0,1),"No aplica")</f>
        <v>0</v>
      </c>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c r="AI135" s="321"/>
      <c r="AJ135" s="321"/>
      <c r="AK135" s="321"/>
      <c r="AL135" s="321"/>
      <c r="AM135" s="321"/>
      <c r="AN135" s="321"/>
      <c r="AO135" s="321"/>
    </row>
    <row r="136" spans="2:41" s="5" customFormat="1" ht="12.75" x14ac:dyDescent="0.25">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row>
    <row r="137" spans="2:41" x14ac:dyDescent="0.25">
      <c r="B137" s="320" t="s">
        <v>30</v>
      </c>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row>
    <row r="138" spans="2:41" x14ac:dyDescent="0.25">
      <c r="B138" s="321">
        <f>+IFERROR(_xlfn.XLOOKUP($X$14&amp;11,'Score BD'!$C:$C,'Score BD'!$AO:$AO,,0,1),"No aplica")</f>
        <v>0</v>
      </c>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c r="AI138" s="321"/>
      <c r="AJ138" s="321"/>
      <c r="AK138" s="321"/>
      <c r="AL138" s="321"/>
      <c r="AM138" s="321"/>
      <c r="AN138" s="321"/>
      <c r="AO138" s="321"/>
    </row>
    <row r="139" spans="2:41" x14ac:dyDescent="0.25">
      <c r="B139" s="321"/>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row>
    <row r="140" spans="2:41" x14ac:dyDescent="0.25">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c r="AI140" s="321"/>
      <c r="AJ140" s="321"/>
      <c r="AK140" s="321"/>
      <c r="AL140" s="321"/>
      <c r="AM140" s="321"/>
      <c r="AN140" s="321"/>
      <c r="AO140" s="321"/>
    </row>
    <row r="141" spans="2:41" x14ac:dyDescent="0.25">
      <c r="B141" s="17"/>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8"/>
    </row>
    <row r="142" spans="2:41" ht="11.25" customHeight="1" x14ac:dyDescent="0.25">
      <c r="B142" s="309" t="s">
        <v>41</v>
      </c>
      <c r="C142" s="309"/>
      <c r="D142" s="309"/>
      <c r="E142" s="309"/>
      <c r="F142" s="309"/>
      <c r="G142" s="309"/>
      <c r="H142" s="322">
        <f>+IFERROR(_xlfn.XLOOKUP($X$14&amp;12,'Score BD'!$C:$C,'Score BD'!$AG:$AG,,0,1),"No aplica")</f>
        <v>1.0000000000000004</v>
      </c>
      <c r="I142" s="323"/>
      <c r="J142" s="323"/>
      <c r="K142" s="323"/>
      <c r="L142" s="324"/>
      <c r="N142" s="328" t="s">
        <v>27</v>
      </c>
      <c r="O142" s="328"/>
      <c r="P142" s="328"/>
      <c r="Q142" s="328"/>
      <c r="R142" s="328"/>
      <c r="S142" s="328"/>
      <c r="T142" s="326" t="str">
        <f>+IFERROR(_xlfn.XLOOKUP($X$14&amp;12,'Score BD'!$C:$C,'Score BD'!$E:$E,,0,1),"No aplica")</f>
        <v>Convalidaciones</v>
      </c>
      <c r="U142" s="326"/>
      <c r="V142" s="326"/>
      <c r="W142" s="326"/>
      <c r="X142" s="326"/>
      <c r="Y142" s="326"/>
      <c r="Z142" s="326"/>
      <c r="AB142" s="302" t="s">
        <v>28</v>
      </c>
      <c r="AC142" s="302"/>
      <c r="AD142" s="302"/>
      <c r="AE142" s="302"/>
      <c r="AF142" s="302"/>
      <c r="AG142" s="302"/>
      <c r="AH142" s="319">
        <f>+IFERROR(_xlfn.XLOOKUP($X$14&amp;12,'Score BD'!$C:$C,'Score BD'!$I:$I,,0,1),"No aplica")</f>
        <v>45971</v>
      </c>
      <c r="AI142" s="319"/>
      <c r="AJ142" s="319"/>
      <c r="AK142" s="319"/>
      <c r="AL142" s="319"/>
      <c r="AM142" s="319"/>
      <c r="AO142" s="11"/>
    </row>
    <row r="143" spans="2:41" x14ac:dyDescent="0.25">
      <c r="B143" s="10"/>
      <c r="AO143" s="11"/>
    </row>
    <row r="144" spans="2:41" x14ac:dyDescent="0.25">
      <c r="B144" s="320" t="s">
        <v>29</v>
      </c>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c r="AA144" s="320"/>
      <c r="AB144" s="320"/>
      <c r="AC144" s="320"/>
      <c r="AD144" s="320"/>
      <c r="AE144" s="320"/>
      <c r="AF144" s="320"/>
      <c r="AG144" s="320"/>
      <c r="AH144" s="320"/>
      <c r="AI144" s="320"/>
      <c r="AJ144" s="320"/>
      <c r="AK144" s="320"/>
      <c r="AL144" s="320"/>
      <c r="AM144" s="320"/>
      <c r="AN144" s="320"/>
      <c r="AO144" s="320"/>
    </row>
    <row r="145" spans="2:41" x14ac:dyDescent="0.25">
      <c r="B145" s="321">
        <f>+IFERROR(_xlfn.XLOOKUP($X$14&amp;12,'Score BD'!$C:$C,'Score BD'!$AN:$AN,,0,1),"No aplica")</f>
        <v>0</v>
      </c>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row>
    <row r="146" spans="2:41" x14ac:dyDescent="0.25">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c r="AI146" s="321"/>
      <c r="AJ146" s="321"/>
      <c r="AK146" s="321"/>
      <c r="AL146" s="321"/>
      <c r="AM146" s="321"/>
      <c r="AN146" s="321"/>
      <c r="AO146" s="321"/>
    </row>
    <row r="147" spans="2:41" x14ac:dyDescent="0.25">
      <c r="B147" s="320" t="s">
        <v>30</v>
      </c>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320"/>
      <c r="AC147" s="320"/>
      <c r="AD147" s="320"/>
      <c r="AE147" s="320"/>
      <c r="AF147" s="320"/>
      <c r="AG147" s="320"/>
      <c r="AH147" s="320"/>
      <c r="AI147" s="320"/>
      <c r="AJ147" s="320"/>
      <c r="AK147" s="320"/>
      <c r="AL147" s="320"/>
      <c r="AM147" s="320"/>
      <c r="AN147" s="320"/>
      <c r="AO147" s="320"/>
    </row>
    <row r="148" spans="2:41" x14ac:dyDescent="0.25">
      <c r="B148" s="321">
        <f>+IFERROR(_xlfn.XLOOKUP($X$14&amp;12,'Score BD'!$C:$C,'Score BD'!$AO:$AO,,0,1),"No aplica")</f>
        <v>0</v>
      </c>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c r="AI148" s="321"/>
      <c r="AJ148" s="321"/>
      <c r="AK148" s="321"/>
      <c r="AL148" s="321"/>
      <c r="AM148" s="321"/>
      <c r="AN148" s="321"/>
      <c r="AO148" s="321"/>
    </row>
    <row r="149" spans="2:41" x14ac:dyDescent="0.25">
      <c r="B149" s="321"/>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1"/>
      <c r="AO149" s="321"/>
    </row>
    <row r="150" spans="2:41" x14ac:dyDescent="0.25">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c r="AI150" s="321"/>
      <c r="AJ150" s="321"/>
      <c r="AK150" s="321"/>
      <c r="AL150" s="321"/>
      <c r="AM150" s="321"/>
      <c r="AN150" s="321"/>
      <c r="AO150" s="321"/>
    </row>
    <row r="151" spans="2:41" x14ac:dyDescent="0.25">
      <c r="B151" s="17"/>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8"/>
    </row>
    <row r="152" spans="2:41" x14ac:dyDescent="0.25">
      <c r="B152" s="330" t="s">
        <v>42</v>
      </c>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c r="AI152" s="330"/>
      <c r="AJ152" s="330"/>
      <c r="AK152" s="330"/>
      <c r="AL152" s="330"/>
      <c r="AM152" s="330"/>
      <c r="AN152" s="330"/>
      <c r="AO152" s="330"/>
    </row>
    <row r="153" spans="2:41" x14ac:dyDescent="0.25">
      <c r="B153" s="331"/>
      <c r="C153" s="331"/>
      <c r="D153" s="331"/>
      <c r="E153" s="331"/>
      <c r="F153" s="331"/>
      <c r="G153" s="331"/>
      <c r="H153" s="331"/>
      <c r="I153" s="331"/>
      <c r="J153" s="331"/>
      <c r="K153" s="331"/>
      <c r="L153" s="331"/>
      <c r="M153" s="331"/>
      <c r="N153" s="331"/>
      <c r="O153" s="331"/>
      <c r="P153" s="331"/>
      <c r="Q153" s="331"/>
      <c r="R153" s="331"/>
      <c r="S153" s="331"/>
      <c r="T153" s="331"/>
      <c r="U153" s="331"/>
      <c r="V153" s="331"/>
      <c r="W153" s="331"/>
      <c r="X153" s="331"/>
      <c r="Y153" s="331"/>
      <c r="Z153" s="331"/>
      <c r="AA153" s="331"/>
      <c r="AB153" s="331"/>
      <c r="AC153" s="331"/>
      <c r="AD153" s="331"/>
      <c r="AE153" s="331"/>
      <c r="AF153" s="331"/>
      <c r="AG153" s="331"/>
      <c r="AH153" s="331"/>
      <c r="AI153" s="331"/>
      <c r="AJ153" s="331"/>
      <c r="AK153" s="331"/>
      <c r="AL153" s="331"/>
      <c r="AM153" s="331"/>
      <c r="AN153" s="331"/>
      <c r="AO153" s="331"/>
    </row>
    <row r="154" spans="2:41" x14ac:dyDescent="0.25">
      <c r="B154" s="331"/>
      <c r="C154" s="331"/>
      <c r="D154" s="331"/>
      <c r="E154" s="331"/>
      <c r="F154" s="331"/>
      <c r="G154" s="331"/>
      <c r="H154" s="331"/>
      <c r="I154" s="331"/>
      <c r="J154" s="331"/>
      <c r="K154" s="331"/>
      <c r="L154" s="331"/>
      <c r="M154" s="331"/>
      <c r="N154" s="331"/>
      <c r="O154" s="331"/>
      <c r="P154" s="331"/>
      <c r="Q154" s="331"/>
      <c r="R154" s="331"/>
      <c r="S154" s="331"/>
      <c r="T154" s="331"/>
      <c r="U154" s="331"/>
      <c r="V154" s="331"/>
      <c r="W154" s="331"/>
      <c r="X154" s="331"/>
      <c r="Y154" s="331"/>
      <c r="Z154" s="331"/>
      <c r="AA154" s="331"/>
      <c r="AB154" s="331"/>
      <c r="AC154" s="331"/>
      <c r="AD154" s="331"/>
      <c r="AE154" s="331"/>
      <c r="AF154" s="331"/>
      <c r="AG154" s="331"/>
      <c r="AH154" s="331"/>
      <c r="AI154" s="331"/>
      <c r="AJ154" s="331"/>
      <c r="AK154" s="331"/>
      <c r="AL154" s="331"/>
      <c r="AM154" s="331"/>
      <c r="AN154" s="331"/>
      <c r="AO154" s="331"/>
    </row>
    <row r="155" spans="2:41" x14ac:dyDescent="0.25">
      <c r="B155" s="331"/>
      <c r="C155" s="331"/>
      <c r="D155" s="331"/>
      <c r="E155" s="331"/>
      <c r="F155" s="331"/>
      <c r="G155" s="331"/>
      <c r="H155" s="331"/>
      <c r="I155" s="331"/>
      <c r="J155" s="331"/>
      <c r="K155" s="331"/>
      <c r="L155" s="331"/>
      <c r="M155" s="331"/>
      <c r="N155" s="331"/>
      <c r="O155" s="331"/>
      <c r="P155" s="331"/>
      <c r="Q155" s="331"/>
      <c r="R155" s="331"/>
      <c r="S155" s="331"/>
      <c r="T155" s="331"/>
      <c r="U155" s="331"/>
      <c r="V155" s="331"/>
      <c r="W155" s="331"/>
      <c r="X155" s="331"/>
      <c r="Y155" s="331"/>
      <c r="Z155" s="331"/>
      <c r="AA155" s="331"/>
      <c r="AB155" s="331"/>
      <c r="AC155" s="331"/>
      <c r="AD155" s="331"/>
      <c r="AE155" s="331"/>
      <c r="AF155" s="331"/>
      <c r="AG155" s="331"/>
      <c r="AH155" s="331"/>
      <c r="AI155" s="331"/>
      <c r="AJ155" s="331"/>
      <c r="AK155" s="331"/>
      <c r="AL155" s="331"/>
      <c r="AM155" s="331"/>
      <c r="AN155" s="331"/>
      <c r="AO155" s="331"/>
    </row>
    <row r="156" spans="2:41" x14ac:dyDescent="0.25">
      <c r="B156" s="10"/>
      <c r="AO156" s="11"/>
    </row>
    <row r="157" spans="2:41" x14ac:dyDescent="0.25">
      <c r="B157" s="329" t="s">
        <v>43</v>
      </c>
      <c r="C157" s="329"/>
      <c r="D157" s="329"/>
      <c r="E157" s="329"/>
      <c r="F157" s="329"/>
      <c r="G157" s="329"/>
      <c r="H157" s="329"/>
      <c r="I157" s="329"/>
      <c r="J157" s="329"/>
      <c r="K157" s="329"/>
      <c r="L157" s="329"/>
      <c r="M157" s="329"/>
      <c r="N157" s="329"/>
      <c r="O157" s="329"/>
      <c r="P157" s="329"/>
      <c r="Q157" s="329"/>
      <c r="R157" s="329"/>
      <c r="S157" s="329"/>
      <c r="T157" s="329"/>
      <c r="U157" s="329"/>
      <c r="V157" s="329"/>
      <c r="W157" s="329"/>
      <c r="X157" s="329"/>
      <c r="Y157" s="329"/>
      <c r="Z157" s="329"/>
      <c r="AA157" s="329"/>
      <c r="AB157" s="329"/>
      <c r="AC157" s="329"/>
      <c r="AD157" s="329"/>
      <c r="AE157" s="329"/>
      <c r="AF157" s="329"/>
      <c r="AG157" s="329"/>
      <c r="AH157" s="329"/>
      <c r="AI157" s="329"/>
      <c r="AJ157" s="329"/>
      <c r="AK157" s="329"/>
      <c r="AL157" s="329"/>
      <c r="AM157" s="329"/>
      <c r="AN157" s="329"/>
      <c r="AO157" s="329"/>
    </row>
    <row r="158" spans="2:41" ht="11.25" customHeight="1" x14ac:dyDescent="0.25">
      <c r="B158" s="309" t="s">
        <v>44</v>
      </c>
      <c r="C158" s="309"/>
      <c r="D158" s="309"/>
      <c r="E158" s="309"/>
      <c r="F158" s="309"/>
      <c r="G158" s="309" t="s">
        <v>45</v>
      </c>
      <c r="H158" s="309"/>
      <c r="I158" s="309"/>
      <c r="J158" s="309"/>
      <c r="K158" s="309" t="s">
        <v>46</v>
      </c>
      <c r="L158" s="309"/>
      <c r="M158" s="309"/>
      <c r="N158" s="309"/>
      <c r="O158" s="309"/>
      <c r="P158" s="309" t="s">
        <v>47</v>
      </c>
      <c r="Q158" s="309"/>
      <c r="R158" s="309"/>
      <c r="S158" s="309" t="s">
        <v>48</v>
      </c>
      <c r="T158" s="309"/>
      <c r="U158" s="309"/>
      <c r="V158" s="309"/>
      <c r="W158" s="309"/>
      <c r="X158" s="309"/>
      <c r="Y158" s="309"/>
      <c r="Z158" s="309" t="s">
        <v>49</v>
      </c>
      <c r="AA158" s="309"/>
      <c r="AB158" s="309"/>
      <c r="AC158" s="309"/>
      <c r="AD158" s="309"/>
      <c r="AE158" s="309"/>
      <c r="AF158" s="309"/>
      <c r="AG158" s="309"/>
      <c r="AH158" s="309" t="s">
        <v>50</v>
      </c>
      <c r="AI158" s="309"/>
      <c r="AJ158" s="309"/>
      <c r="AK158" s="309"/>
      <c r="AL158" s="309"/>
      <c r="AM158" s="309"/>
      <c r="AN158" s="309"/>
      <c r="AO158" s="309"/>
    </row>
    <row r="159" spans="2:41" x14ac:dyDescent="0.25">
      <c r="B159" s="309"/>
      <c r="C159" s="309"/>
      <c r="D159" s="309"/>
      <c r="E159" s="309"/>
      <c r="F159" s="309"/>
      <c r="G159" s="309"/>
      <c r="H159" s="309"/>
      <c r="I159" s="309"/>
      <c r="J159" s="309"/>
      <c r="K159" s="309"/>
      <c r="L159" s="309"/>
      <c r="M159" s="309"/>
      <c r="N159" s="309"/>
      <c r="O159" s="309"/>
      <c r="P159" s="309"/>
      <c r="Q159" s="309"/>
      <c r="R159" s="309"/>
      <c r="S159" s="309"/>
      <c r="T159" s="309"/>
      <c r="U159" s="309"/>
      <c r="V159" s="309"/>
      <c r="W159" s="309"/>
      <c r="X159" s="309"/>
      <c r="Y159" s="309"/>
      <c r="Z159" s="309"/>
      <c r="AA159" s="309"/>
      <c r="AB159" s="309"/>
      <c r="AC159" s="309"/>
      <c r="AD159" s="309"/>
      <c r="AE159" s="309"/>
      <c r="AF159" s="309"/>
      <c r="AG159" s="309"/>
      <c r="AH159" s="309"/>
      <c r="AI159" s="309"/>
      <c r="AJ159" s="309"/>
      <c r="AK159" s="309"/>
      <c r="AL159" s="309"/>
      <c r="AM159" s="309"/>
      <c r="AN159" s="309"/>
      <c r="AO159" s="309"/>
    </row>
    <row r="160" spans="2:41" ht="12.75" customHeight="1" x14ac:dyDescent="0.25">
      <c r="B160" s="332"/>
      <c r="C160" s="332"/>
      <c r="D160" s="332"/>
      <c r="E160" s="332"/>
      <c r="F160" s="332"/>
      <c r="G160" s="331"/>
      <c r="H160" s="331"/>
      <c r="I160" s="331"/>
      <c r="J160" s="331"/>
      <c r="K160" s="333"/>
      <c r="L160" s="333"/>
      <c r="M160" s="333"/>
      <c r="N160" s="333"/>
      <c r="O160" s="333"/>
      <c r="P160" s="331" t="s">
        <v>63</v>
      </c>
      <c r="Q160" s="331"/>
      <c r="R160" s="331"/>
      <c r="S160" s="333"/>
      <c r="T160" s="333"/>
      <c r="U160" s="333"/>
      <c r="V160" s="333"/>
      <c r="W160" s="333"/>
      <c r="X160" s="333"/>
      <c r="Y160" s="333"/>
      <c r="Z160" s="331"/>
      <c r="AA160" s="331"/>
      <c r="AB160" s="331"/>
      <c r="AC160" s="331"/>
      <c r="AD160" s="331"/>
      <c r="AE160" s="331"/>
      <c r="AF160" s="331"/>
      <c r="AG160" s="331"/>
      <c r="AH160" s="331"/>
      <c r="AI160" s="331"/>
      <c r="AJ160" s="331"/>
      <c r="AK160" s="331"/>
      <c r="AL160" s="331"/>
      <c r="AM160" s="331"/>
      <c r="AN160" s="331"/>
      <c r="AO160" s="331"/>
    </row>
    <row r="161" spans="2:41" ht="49.5" customHeight="1" x14ac:dyDescent="0.25">
      <c r="B161" s="332"/>
      <c r="C161" s="332"/>
      <c r="D161" s="332"/>
      <c r="E161" s="332"/>
      <c r="F161" s="332"/>
      <c r="G161" s="331"/>
      <c r="H161" s="331"/>
      <c r="I161" s="331"/>
      <c r="J161" s="331"/>
      <c r="K161" s="333"/>
      <c r="L161" s="333"/>
      <c r="M161" s="333"/>
      <c r="N161" s="333"/>
      <c r="O161" s="333"/>
      <c r="P161" s="331"/>
      <c r="Q161" s="331"/>
      <c r="R161" s="331"/>
      <c r="S161" s="333"/>
      <c r="T161" s="333"/>
      <c r="U161" s="333"/>
      <c r="V161" s="333"/>
      <c r="W161" s="333"/>
      <c r="X161" s="333"/>
      <c r="Y161" s="333"/>
      <c r="Z161" s="331"/>
      <c r="AA161" s="331"/>
      <c r="AB161" s="331"/>
      <c r="AC161" s="331"/>
      <c r="AD161" s="331"/>
      <c r="AE161" s="331"/>
      <c r="AF161" s="331"/>
      <c r="AG161" s="331"/>
      <c r="AH161" s="331"/>
      <c r="AI161" s="331"/>
      <c r="AJ161" s="331"/>
      <c r="AK161" s="331"/>
      <c r="AL161" s="331"/>
      <c r="AM161" s="331"/>
      <c r="AN161" s="331"/>
      <c r="AO161" s="331"/>
    </row>
    <row r="162" spans="2:41" ht="12.75" customHeight="1" x14ac:dyDescent="0.25">
      <c r="B162" s="332"/>
      <c r="C162" s="332"/>
      <c r="D162" s="332"/>
      <c r="E162" s="332"/>
      <c r="F162" s="332"/>
      <c r="G162" s="331"/>
      <c r="H162" s="331"/>
      <c r="I162" s="331"/>
      <c r="J162" s="331"/>
      <c r="K162" s="333"/>
      <c r="L162" s="333"/>
      <c r="M162" s="333"/>
      <c r="N162" s="333"/>
      <c r="O162" s="333"/>
      <c r="P162" s="331" t="s">
        <v>63</v>
      </c>
      <c r="Q162" s="331"/>
      <c r="R162" s="331"/>
      <c r="S162" s="333"/>
      <c r="T162" s="333"/>
      <c r="U162" s="333"/>
      <c r="V162" s="333"/>
      <c r="W162" s="333"/>
      <c r="X162" s="333"/>
      <c r="Y162" s="333"/>
      <c r="Z162" s="331"/>
      <c r="AA162" s="331"/>
      <c r="AB162" s="331"/>
      <c r="AC162" s="331"/>
      <c r="AD162" s="331"/>
      <c r="AE162" s="331"/>
      <c r="AF162" s="331"/>
      <c r="AG162" s="331"/>
      <c r="AH162" s="331"/>
      <c r="AI162" s="331"/>
      <c r="AJ162" s="331"/>
      <c r="AK162" s="331"/>
      <c r="AL162" s="331"/>
      <c r="AM162" s="331"/>
      <c r="AN162" s="331"/>
      <c r="AO162" s="331"/>
    </row>
    <row r="163" spans="2:41" x14ac:dyDescent="0.25">
      <c r="B163" s="332"/>
      <c r="C163" s="332"/>
      <c r="D163" s="332"/>
      <c r="E163" s="332"/>
      <c r="F163" s="332"/>
      <c r="G163" s="331"/>
      <c r="H163" s="331"/>
      <c r="I163" s="331"/>
      <c r="J163" s="331"/>
      <c r="K163" s="333"/>
      <c r="L163" s="333"/>
      <c r="M163" s="333"/>
      <c r="N163" s="333"/>
      <c r="O163" s="333"/>
      <c r="P163" s="331"/>
      <c r="Q163" s="331"/>
      <c r="R163" s="331"/>
      <c r="S163" s="333"/>
      <c r="T163" s="333"/>
      <c r="U163" s="333"/>
      <c r="V163" s="333"/>
      <c r="W163" s="333"/>
      <c r="X163" s="333"/>
      <c r="Y163" s="333"/>
      <c r="Z163" s="331"/>
      <c r="AA163" s="331"/>
      <c r="AB163" s="331"/>
      <c r="AC163" s="331"/>
      <c r="AD163" s="331"/>
      <c r="AE163" s="331"/>
      <c r="AF163" s="331"/>
      <c r="AG163" s="331"/>
      <c r="AH163" s="331"/>
      <c r="AI163" s="331"/>
      <c r="AJ163" s="331"/>
      <c r="AK163" s="331"/>
      <c r="AL163" s="331"/>
      <c r="AM163" s="331"/>
      <c r="AN163" s="331"/>
      <c r="AO163" s="331"/>
    </row>
    <row r="164" spans="2:41" ht="12.75" customHeight="1" x14ac:dyDescent="0.25">
      <c r="B164" s="332"/>
      <c r="C164" s="332"/>
      <c r="D164" s="332"/>
      <c r="E164" s="332"/>
      <c r="F164" s="332"/>
      <c r="G164" s="331"/>
      <c r="H164" s="331"/>
      <c r="I164" s="331"/>
      <c r="J164" s="331"/>
      <c r="K164" s="333"/>
      <c r="L164" s="333"/>
      <c r="M164" s="333"/>
      <c r="N164" s="333"/>
      <c r="O164" s="333"/>
      <c r="P164" s="331" t="s">
        <v>63</v>
      </c>
      <c r="Q164" s="331"/>
      <c r="R164" s="331"/>
      <c r="S164" s="333"/>
      <c r="T164" s="333"/>
      <c r="U164" s="333"/>
      <c r="V164" s="333"/>
      <c r="W164" s="333"/>
      <c r="X164" s="333"/>
      <c r="Y164" s="333"/>
      <c r="Z164" s="331"/>
      <c r="AA164" s="331"/>
      <c r="AB164" s="331"/>
      <c r="AC164" s="331"/>
      <c r="AD164" s="331"/>
      <c r="AE164" s="331"/>
      <c r="AF164" s="331"/>
      <c r="AG164" s="331"/>
      <c r="AH164" s="331"/>
      <c r="AI164" s="331"/>
      <c r="AJ164" s="331"/>
      <c r="AK164" s="331"/>
      <c r="AL164" s="331"/>
      <c r="AM164" s="331"/>
      <c r="AN164" s="331"/>
      <c r="AO164" s="331"/>
    </row>
    <row r="165" spans="2:41" x14ac:dyDescent="0.25">
      <c r="B165" s="332"/>
      <c r="C165" s="332"/>
      <c r="D165" s="332"/>
      <c r="E165" s="332"/>
      <c r="F165" s="332"/>
      <c r="G165" s="331"/>
      <c r="H165" s="331"/>
      <c r="I165" s="331"/>
      <c r="J165" s="331"/>
      <c r="K165" s="333"/>
      <c r="L165" s="333"/>
      <c r="M165" s="333"/>
      <c r="N165" s="333"/>
      <c r="O165" s="333"/>
      <c r="P165" s="331"/>
      <c r="Q165" s="331"/>
      <c r="R165" s="331"/>
      <c r="S165" s="333"/>
      <c r="T165" s="333"/>
      <c r="U165" s="333"/>
      <c r="V165" s="333"/>
      <c r="W165" s="333"/>
      <c r="X165" s="333"/>
      <c r="Y165" s="333"/>
      <c r="Z165" s="331"/>
      <c r="AA165" s="331"/>
      <c r="AB165" s="331"/>
      <c r="AC165" s="331"/>
      <c r="AD165" s="331"/>
      <c r="AE165" s="331"/>
      <c r="AF165" s="331"/>
      <c r="AG165" s="331"/>
      <c r="AH165" s="331"/>
      <c r="AI165" s="331"/>
      <c r="AJ165" s="331"/>
      <c r="AK165" s="331"/>
      <c r="AL165" s="331"/>
      <c r="AM165" s="331"/>
      <c r="AN165" s="331"/>
      <c r="AO165" s="331"/>
    </row>
    <row r="166" spans="2:41" x14ac:dyDescent="0.25">
      <c r="B166" s="329" t="s">
        <v>51</v>
      </c>
      <c r="C166" s="329"/>
      <c r="D166" s="329"/>
      <c r="E166" s="329"/>
      <c r="F166" s="329"/>
      <c r="G166" s="329"/>
      <c r="H166" s="329"/>
      <c r="I166" s="329"/>
      <c r="J166" s="329"/>
      <c r="K166" s="329"/>
      <c r="L166" s="329"/>
      <c r="M166" s="329"/>
      <c r="N166" s="329"/>
      <c r="O166" s="329"/>
      <c r="P166" s="329"/>
      <c r="Q166" s="329"/>
      <c r="R166" s="329"/>
      <c r="S166" s="329"/>
      <c r="T166" s="329"/>
      <c r="U166" s="329"/>
      <c r="V166" s="329"/>
      <c r="W166" s="329"/>
      <c r="X166" s="329"/>
      <c r="Y166" s="329"/>
      <c r="Z166" s="329"/>
      <c r="AA166" s="329"/>
      <c r="AB166" s="329"/>
      <c r="AC166" s="329"/>
      <c r="AD166" s="329"/>
      <c r="AE166" s="329"/>
      <c r="AF166" s="329"/>
      <c r="AG166" s="329"/>
      <c r="AH166" s="329"/>
      <c r="AI166" s="329"/>
      <c r="AJ166" s="329"/>
      <c r="AK166" s="329"/>
      <c r="AL166" s="329"/>
      <c r="AM166" s="329"/>
      <c r="AN166" s="329"/>
      <c r="AO166" s="329"/>
    </row>
    <row r="167" spans="2:41" ht="15" customHeight="1" x14ac:dyDescent="0.25">
      <c r="B167" s="331"/>
      <c r="C167" s="331"/>
      <c r="D167" s="331"/>
      <c r="E167" s="331"/>
      <c r="F167" s="331"/>
      <c r="G167" s="331"/>
      <c r="H167" s="331"/>
      <c r="I167" s="331"/>
      <c r="J167" s="331"/>
      <c r="K167" s="331"/>
      <c r="L167" s="331"/>
      <c r="M167" s="331"/>
      <c r="N167" s="331"/>
      <c r="O167" s="331"/>
      <c r="P167" s="331"/>
      <c r="Q167" s="331"/>
      <c r="R167" s="331"/>
      <c r="S167" s="331"/>
      <c r="T167" s="331"/>
      <c r="U167" s="331"/>
      <c r="V167" s="331"/>
      <c r="W167" s="331"/>
      <c r="X167" s="331"/>
      <c r="Y167" s="331"/>
      <c r="Z167" s="331"/>
      <c r="AA167" s="331"/>
      <c r="AB167" s="331"/>
      <c r="AC167" s="331"/>
      <c r="AD167" s="331"/>
      <c r="AE167" s="331"/>
      <c r="AF167" s="331"/>
      <c r="AG167" s="331"/>
      <c r="AH167" s="331"/>
      <c r="AI167" s="331"/>
      <c r="AJ167" s="331"/>
      <c r="AK167" s="331"/>
      <c r="AL167" s="331"/>
      <c r="AM167" s="331"/>
      <c r="AN167" s="331"/>
      <c r="AO167" s="331"/>
    </row>
    <row r="168" spans="2:41" ht="15" customHeight="1" x14ac:dyDescent="0.25">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c r="AA168" s="331"/>
      <c r="AB168" s="331"/>
      <c r="AC168" s="331"/>
      <c r="AD168" s="331"/>
      <c r="AE168" s="331"/>
      <c r="AF168" s="331"/>
      <c r="AG168" s="331"/>
      <c r="AH168" s="331"/>
      <c r="AI168" s="331"/>
      <c r="AJ168" s="331"/>
      <c r="AK168" s="331"/>
      <c r="AL168" s="331"/>
      <c r="AM168" s="331"/>
      <c r="AN168" s="331"/>
      <c r="AO168" s="331"/>
    </row>
    <row r="169" spans="2:41" ht="15" customHeight="1" x14ac:dyDescent="0.25">
      <c r="B169" s="331"/>
      <c r="C169" s="331"/>
      <c r="D169" s="331"/>
      <c r="E169" s="331"/>
      <c r="F169" s="331"/>
      <c r="G169" s="331"/>
      <c r="H169" s="331"/>
      <c r="I169" s="331"/>
      <c r="J169" s="331"/>
      <c r="K169" s="331"/>
      <c r="L169" s="331"/>
      <c r="M169" s="331"/>
      <c r="N169" s="331"/>
      <c r="O169" s="331"/>
      <c r="P169" s="331"/>
      <c r="Q169" s="331"/>
      <c r="R169" s="331"/>
      <c r="S169" s="331"/>
      <c r="T169" s="331"/>
      <c r="U169" s="331"/>
      <c r="V169" s="331"/>
      <c r="W169" s="331"/>
      <c r="X169" s="331"/>
      <c r="Y169" s="331"/>
      <c r="Z169" s="331"/>
      <c r="AA169" s="331"/>
      <c r="AB169" s="331"/>
      <c r="AC169" s="331"/>
      <c r="AD169" s="331"/>
      <c r="AE169" s="331"/>
      <c r="AF169" s="331"/>
      <c r="AG169" s="331"/>
      <c r="AH169" s="331"/>
      <c r="AI169" s="331"/>
      <c r="AJ169" s="331"/>
      <c r="AK169" s="331"/>
      <c r="AL169" s="331"/>
      <c r="AM169" s="331"/>
      <c r="AN169" s="331"/>
      <c r="AO169" s="331"/>
    </row>
    <row r="170" spans="2:41" ht="15" customHeight="1" x14ac:dyDescent="0.25">
      <c r="B170" s="331"/>
      <c r="C170" s="331"/>
      <c r="D170" s="331"/>
      <c r="E170" s="331"/>
      <c r="F170" s="331"/>
      <c r="G170" s="331"/>
      <c r="H170" s="331"/>
      <c r="I170" s="331"/>
      <c r="J170" s="331"/>
      <c r="K170" s="331"/>
      <c r="L170" s="331"/>
      <c r="M170" s="331"/>
      <c r="N170" s="331"/>
      <c r="O170" s="331"/>
      <c r="P170" s="331"/>
      <c r="Q170" s="331"/>
      <c r="R170" s="331"/>
      <c r="S170" s="331"/>
      <c r="T170" s="331"/>
      <c r="U170" s="331"/>
      <c r="V170" s="331"/>
      <c r="W170" s="331"/>
      <c r="X170" s="331"/>
      <c r="Y170" s="331"/>
      <c r="Z170" s="331"/>
      <c r="AA170" s="331"/>
      <c r="AB170" s="331"/>
      <c r="AC170" s="331"/>
      <c r="AD170" s="331"/>
      <c r="AE170" s="331"/>
      <c r="AF170" s="331"/>
      <c r="AG170" s="331"/>
      <c r="AH170" s="331"/>
      <c r="AI170" s="331"/>
      <c r="AJ170" s="331"/>
      <c r="AK170" s="331"/>
      <c r="AL170" s="331"/>
      <c r="AM170" s="331"/>
      <c r="AN170" s="331"/>
      <c r="AO170" s="331"/>
    </row>
    <row r="171" spans="2:41" ht="15" customHeight="1" x14ac:dyDescent="0.25">
      <c r="B171" s="334"/>
      <c r="C171" s="334"/>
      <c r="D171" s="334"/>
      <c r="E171" s="334"/>
      <c r="F171" s="334"/>
      <c r="G171" s="334"/>
      <c r="H171" s="334"/>
      <c r="I171" s="334"/>
      <c r="J171" s="334"/>
      <c r="K171" s="334"/>
      <c r="L171" s="334"/>
      <c r="M171" s="334"/>
      <c r="N171" s="334"/>
      <c r="O171" s="334"/>
      <c r="P171" s="334"/>
      <c r="Q171" s="334"/>
      <c r="R171" s="334"/>
      <c r="S171" s="334"/>
      <c r="T171" s="334"/>
      <c r="U171" s="334"/>
      <c r="V171" s="334"/>
      <c r="W171" s="334"/>
      <c r="X171" s="334"/>
      <c r="Y171" s="334"/>
      <c r="Z171" s="334"/>
      <c r="AA171" s="334"/>
      <c r="AB171" s="334"/>
      <c r="AC171" s="334"/>
      <c r="AD171" s="334"/>
      <c r="AE171" s="334"/>
      <c r="AF171" s="334"/>
      <c r="AG171" s="334"/>
      <c r="AH171" s="334"/>
      <c r="AI171" s="335" t="s">
        <v>52</v>
      </c>
      <c r="AJ171" s="335"/>
      <c r="AK171" s="335"/>
      <c r="AL171" s="335"/>
      <c r="AM171" s="335"/>
      <c r="AN171" s="335"/>
      <c r="AO171" s="335"/>
    </row>
    <row r="172" spans="2:41" x14ac:dyDescent="0.25">
      <c r="B172" s="329" t="s">
        <v>53</v>
      </c>
      <c r="C172" s="329"/>
      <c r="D172" s="329"/>
      <c r="E172" s="329"/>
      <c r="F172" s="329"/>
      <c r="G172" s="329"/>
      <c r="H172" s="329"/>
      <c r="I172" s="329"/>
      <c r="J172" s="329"/>
      <c r="K172" s="329"/>
      <c r="L172" s="329"/>
      <c r="M172" s="329"/>
      <c r="N172" s="329"/>
      <c r="O172" s="329" t="s">
        <v>54</v>
      </c>
      <c r="P172" s="329"/>
      <c r="Q172" s="329"/>
      <c r="R172" s="329"/>
      <c r="S172" s="329"/>
      <c r="T172" s="329"/>
      <c r="U172" s="329"/>
      <c r="V172" s="329"/>
      <c r="W172" s="329"/>
      <c r="X172" s="329"/>
      <c r="Y172" s="329"/>
      <c r="Z172" s="329"/>
      <c r="AA172" s="329"/>
      <c r="AB172" s="329"/>
      <c r="AC172" s="329"/>
      <c r="AD172" s="329"/>
      <c r="AE172" s="329"/>
      <c r="AF172" s="329"/>
      <c r="AG172" s="329"/>
      <c r="AH172" s="329"/>
      <c r="AI172" s="329"/>
      <c r="AJ172" s="329"/>
      <c r="AK172" s="329"/>
      <c r="AL172" s="329"/>
      <c r="AM172" s="329"/>
      <c r="AN172" s="329"/>
      <c r="AO172" s="329"/>
    </row>
    <row r="173" spans="2:41" ht="19.5" customHeight="1" x14ac:dyDescent="0.25">
      <c r="B173" s="329" t="s">
        <v>55</v>
      </c>
      <c r="C173" s="329"/>
      <c r="D173" s="329"/>
      <c r="E173" s="329"/>
      <c r="F173" s="329"/>
      <c r="G173" s="329"/>
      <c r="H173" s="329"/>
      <c r="I173" s="329" t="s">
        <v>25</v>
      </c>
      <c r="J173" s="329"/>
      <c r="K173" s="329"/>
      <c r="L173" s="329"/>
      <c r="M173" s="329"/>
      <c r="N173" s="329"/>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row>
    <row r="174" spans="2:41" ht="19.5" customHeight="1" x14ac:dyDescent="0.25">
      <c r="B174" s="336"/>
      <c r="C174" s="336"/>
      <c r="D174" s="336"/>
      <c r="E174" s="336"/>
      <c r="F174" s="336"/>
      <c r="G174" s="336"/>
      <c r="H174" s="336"/>
      <c r="I174" s="331"/>
      <c r="J174" s="331"/>
      <c r="K174" s="331"/>
      <c r="L174" s="331"/>
      <c r="M174" s="331"/>
      <c r="N174" s="331"/>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row>
    <row r="175" spans="2:41" ht="16.5" customHeight="1" x14ac:dyDescent="0.25">
      <c r="B175" s="336"/>
      <c r="C175" s="336"/>
      <c r="D175" s="336"/>
      <c r="E175" s="336"/>
      <c r="F175" s="336"/>
      <c r="G175" s="336"/>
      <c r="H175" s="336"/>
      <c r="I175" s="331"/>
      <c r="J175" s="331"/>
      <c r="K175" s="331"/>
      <c r="L175" s="331"/>
      <c r="M175" s="331"/>
      <c r="N175" s="331"/>
      <c r="O175" s="340"/>
      <c r="P175" s="340"/>
      <c r="Q175" s="340"/>
      <c r="R175" s="340"/>
      <c r="S175" s="340"/>
      <c r="T175" s="340"/>
      <c r="U175" s="340"/>
      <c r="V175" s="340"/>
      <c r="W175" s="340"/>
      <c r="X175" s="340"/>
      <c r="Y175" s="340"/>
      <c r="Z175" s="340"/>
      <c r="AA175" s="340"/>
      <c r="AB175" s="340"/>
      <c r="AC175" s="340"/>
      <c r="AD175" s="340"/>
      <c r="AE175" s="340"/>
      <c r="AF175" s="340"/>
      <c r="AG175" s="340"/>
      <c r="AH175" s="340"/>
      <c r="AI175" s="340"/>
      <c r="AJ175" s="340"/>
      <c r="AK175" s="340"/>
      <c r="AL175" s="340"/>
      <c r="AM175" s="340"/>
      <c r="AN175" s="340"/>
      <c r="AO175" s="340"/>
    </row>
    <row r="176" spans="2:41" x14ac:dyDescent="0.25">
      <c r="B176" s="336"/>
      <c r="C176" s="336"/>
      <c r="D176" s="336"/>
      <c r="E176" s="336"/>
      <c r="F176" s="336"/>
      <c r="G176" s="336"/>
      <c r="H176" s="336"/>
      <c r="I176" s="331"/>
      <c r="J176" s="331"/>
      <c r="K176" s="331"/>
      <c r="L176" s="331"/>
      <c r="M176" s="331"/>
      <c r="N176" s="331"/>
      <c r="O176" s="340"/>
      <c r="P176" s="340"/>
      <c r="Q176" s="340"/>
      <c r="R176" s="340"/>
      <c r="S176" s="340"/>
      <c r="T176" s="340"/>
      <c r="U176" s="340"/>
      <c r="V176" s="340"/>
      <c r="W176" s="340"/>
      <c r="X176" s="340"/>
      <c r="Y176" s="340"/>
      <c r="Z176" s="340"/>
      <c r="AA176" s="340"/>
      <c r="AB176" s="340"/>
      <c r="AC176" s="340"/>
      <c r="AD176" s="340"/>
      <c r="AE176" s="340"/>
      <c r="AF176" s="340"/>
      <c r="AG176" s="340"/>
      <c r="AH176" s="340"/>
      <c r="AI176" s="340"/>
      <c r="AJ176" s="340"/>
      <c r="AK176" s="340"/>
      <c r="AL176" s="340"/>
      <c r="AM176" s="340"/>
      <c r="AN176" s="340"/>
      <c r="AO176" s="340"/>
    </row>
    <row r="177" spans="2:41" ht="16.5" customHeight="1" x14ac:dyDescent="0.25">
      <c r="B177" s="336"/>
      <c r="C177" s="336"/>
      <c r="D177" s="336"/>
      <c r="E177" s="336"/>
      <c r="F177" s="336"/>
      <c r="G177" s="336"/>
      <c r="H177" s="336"/>
      <c r="I177" s="331"/>
      <c r="J177" s="331"/>
      <c r="K177" s="331"/>
      <c r="L177" s="331"/>
      <c r="M177" s="331"/>
      <c r="N177" s="331"/>
      <c r="O177" s="331"/>
      <c r="P177" s="331"/>
      <c r="Q177" s="331"/>
      <c r="R177" s="331"/>
      <c r="S177" s="331"/>
      <c r="T177" s="341" t="s">
        <v>4</v>
      </c>
      <c r="U177" s="342" t="s">
        <v>5</v>
      </c>
      <c r="V177" s="320" t="s">
        <v>50</v>
      </c>
      <c r="W177" s="320"/>
      <c r="X177" s="320"/>
      <c r="Y177" s="320"/>
      <c r="Z177" s="320"/>
      <c r="AA177" s="320"/>
      <c r="AB177" s="320"/>
      <c r="AC177" s="320"/>
      <c r="AD177" s="320"/>
      <c r="AE177" s="320"/>
      <c r="AF177" s="320"/>
      <c r="AG177" s="320"/>
      <c r="AH177" s="320"/>
      <c r="AI177" s="320"/>
      <c r="AJ177" s="337"/>
      <c r="AK177" s="338"/>
      <c r="AL177" s="338"/>
      <c r="AM177" s="338"/>
      <c r="AN177" s="338"/>
      <c r="AO177" s="338"/>
    </row>
    <row r="178" spans="2:41" ht="19.5" customHeight="1" x14ac:dyDescent="0.25">
      <c r="B178" s="336"/>
      <c r="C178" s="336"/>
      <c r="D178" s="336"/>
      <c r="E178" s="336"/>
      <c r="F178" s="336"/>
      <c r="G178" s="336"/>
      <c r="H178" s="336"/>
      <c r="I178" s="331"/>
      <c r="J178" s="331"/>
      <c r="K178" s="331"/>
      <c r="L178" s="331"/>
      <c r="M178" s="331"/>
      <c r="N178" s="331"/>
      <c r="O178" s="331"/>
      <c r="P178" s="331"/>
      <c r="Q178" s="331"/>
      <c r="R178" s="331"/>
      <c r="S178" s="331"/>
      <c r="T178" s="341"/>
      <c r="U178" s="342"/>
      <c r="V178" s="320"/>
      <c r="W178" s="320"/>
      <c r="X178" s="320"/>
      <c r="Y178" s="320"/>
      <c r="Z178" s="320"/>
      <c r="AA178" s="320"/>
      <c r="AB178" s="320"/>
      <c r="AC178" s="320"/>
      <c r="AD178" s="320"/>
      <c r="AE178" s="320"/>
      <c r="AF178" s="320"/>
      <c r="AG178" s="320"/>
      <c r="AH178" s="320"/>
      <c r="AI178" s="320"/>
      <c r="AJ178" s="343" t="s">
        <v>56</v>
      </c>
      <c r="AK178" s="343"/>
      <c r="AL178" s="343"/>
      <c r="AM178" s="343"/>
      <c r="AN178" s="343"/>
      <c r="AO178" s="343"/>
    </row>
    <row r="179" spans="2:41" x14ac:dyDescent="0.25">
      <c r="B179" s="339" t="s">
        <v>57</v>
      </c>
      <c r="C179" s="339"/>
      <c r="D179" s="339"/>
      <c r="E179" s="339"/>
      <c r="F179" s="339"/>
      <c r="G179" s="339"/>
      <c r="H179" s="339"/>
      <c r="I179" s="339"/>
      <c r="J179" s="339"/>
      <c r="K179" s="339"/>
      <c r="L179" s="339"/>
      <c r="M179" s="339"/>
      <c r="N179" s="339"/>
      <c r="O179" s="339"/>
      <c r="P179" s="339"/>
      <c r="Q179" s="339"/>
      <c r="R179" s="339"/>
      <c r="S179" s="339"/>
      <c r="T179" s="339"/>
      <c r="U179" s="339"/>
      <c r="V179" s="339"/>
      <c r="W179" s="339"/>
      <c r="X179" s="339"/>
      <c r="Y179" s="339"/>
      <c r="Z179" s="339"/>
      <c r="AA179" s="339"/>
      <c r="AB179" s="339"/>
      <c r="AC179" s="339"/>
      <c r="AD179" s="339"/>
      <c r="AE179" s="339"/>
      <c r="AF179" s="339"/>
      <c r="AG179" s="339"/>
      <c r="AH179" s="339"/>
      <c r="AI179" s="339"/>
      <c r="AJ179" s="339"/>
      <c r="AK179" s="339"/>
      <c r="AL179" s="339"/>
      <c r="AM179" s="339"/>
      <c r="AN179" s="339"/>
      <c r="AO179" s="339"/>
    </row>
  </sheetData>
  <mergeCells count="222">
    <mergeCell ref="B177:H177"/>
    <mergeCell ref="I177:N177"/>
    <mergeCell ref="AJ177:AO177"/>
    <mergeCell ref="B179:AO179"/>
    <mergeCell ref="I175:N175"/>
    <mergeCell ref="B176:H176"/>
    <mergeCell ref="I176:N176"/>
    <mergeCell ref="O173:AO176"/>
    <mergeCell ref="O177:S178"/>
    <mergeCell ref="T177:T178"/>
    <mergeCell ref="U177:U178"/>
    <mergeCell ref="V177:AI178"/>
    <mergeCell ref="B178:H178"/>
    <mergeCell ref="I178:N178"/>
    <mergeCell ref="AJ178:AO178"/>
    <mergeCell ref="B171:AH171"/>
    <mergeCell ref="AI171:AO171"/>
    <mergeCell ref="B172:N172"/>
    <mergeCell ref="O172:AO172"/>
    <mergeCell ref="B173:H173"/>
    <mergeCell ref="I173:N173"/>
    <mergeCell ref="B174:H174"/>
    <mergeCell ref="I174:N174"/>
    <mergeCell ref="B175:H175"/>
    <mergeCell ref="AH164:AO165"/>
    <mergeCell ref="B166:AO166"/>
    <mergeCell ref="B167:AO167"/>
    <mergeCell ref="B168:AO168"/>
    <mergeCell ref="B169:AO169"/>
    <mergeCell ref="B170:AO170"/>
    <mergeCell ref="B164:F165"/>
    <mergeCell ref="G164:J165"/>
    <mergeCell ref="K164:O165"/>
    <mergeCell ref="P164:R165"/>
    <mergeCell ref="S164:Y165"/>
    <mergeCell ref="Z164:AG165"/>
    <mergeCell ref="AH160:AO161"/>
    <mergeCell ref="B162:F163"/>
    <mergeCell ref="G162:J163"/>
    <mergeCell ref="K162:O163"/>
    <mergeCell ref="P162:R163"/>
    <mergeCell ref="S162:Y163"/>
    <mergeCell ref="Z162:AG163"/>
    <mergeCell ref="AH162:AO163"/>
    <mergeCell ref="B160:F161"/>
    <mergeCell ref="G160:J161"/>
    <mergeCell ref="K160:O161"/>
    <mergeCell ref="P160:R161"/>
    <mergeCell ref="S160:Y161"/>
    <mergeCell ref="Z160:AG161"/>
    <mergeCell ref="B157:AO157"/>
    <mergeCell ref="B158:F159"/>
    <mergeCell ref="G158:J159"/>
    <mergeCell ref="K158:O159"/>
    <mergeCell ref="P158:R159"/>
    <mergeCell ref="S158:Y159"/>
    <mergeCell ref="Z158:AG159"/>
    <mergeCell ref="AH158:AO159"/>
    <mergeCell ref="B144:AO144"/>
    <mergeCell ref="B145:AO146"/>
    <mergeCell ref="B147:AO147"/>
    <mergeCell ref="B148:AO150"/>
    <mergeCell ref="B152:AO152"/>
    <mergeCell ref="B153:AO155"/>
    <mergeCell ref="B134:AO134"/>
    <mergeCell ref="B135:AO136"/>
    <mergeCell ref="B137:AO137"/>
    <mergeCell ref="B138:AO140"/>
    <mergeCell ref="B142:G142"/>
    <mergeCell ref="H142:L142"/>
    <mergeCell ref="N142:S142"/>
    <mergeCell ref="T142:Z142"/>
    <mergeCell ref="AB142:AG142"/>
    <mergeCell ref="AH142:AM142"/>
    <mergeCell ref="B124:AO124"/>
    <mergeCell ref="B125:AO126"/>
    <mergeCell ref="B127:AO127"/>
    <mergeCell ref="B128:AO130"/>
    <mergeCell ref="B132:G132"/>
    <mergeCell ref="H132:L132"/>
    <mergeCell ref="N132:S132"/>
    <mergeCell ref="T132:Z132"/>
    <mergeCell ref="AB132:AG132"/>
    <mergeCell ref="AH132:AM132"/>
    <mergeCell ref="B114:AO114"/>
    <mergeCell ref="B115:AO116"/>
    <mergeCell ref="B117:AO117"/>
    <mergeCell ref="B118:AO120"/>
    <mergeCell ref="B122:G122"/>
    <mergeCell ref="H122:L122"/>
    <mergeCell ref="N122:S122"/>
    <mergeCell ref="T122:Z122"/>
    <mergeCell ref="AB122:AG122"/>
    <mergeCell ref="AH122:AM122"/>
    <mergeCell ref="B104:AO104"/>
    <mergeCell ref="B105:AO106"/>
    <mergeCell ref="B107:AO107"/>
    <mergeCell ref="B108:AO110"/>
    <mergeCell ref="B112:G112"/>
    <mergeCell ref="H112:L112"/>
    <mergeCell ref="N112:S112"/>
    <mergeCell ref="T112:Z112"/>
    <mergeCell ref="AB112:AG112"/>
    <mergeCell ref="AH112:AM112"/>
    <mergeCell ref="B93:AO93"/>
    <mergeCell ref="B94:AO96"/>
    <mergeCell ref="B97:AO97"/>
    <mergeCell ref="B98:AO100"/>
    <mergeCell ref="B102:G102"/>
    <mergeCell ref="H102:L102"/>
    <mergeCell ref="N102:S102"/>
    <mergeCell ref="T102:Z102"/>
    <mergeCell ref="AB102:AG102"/>
    <mergeCell ref="AH102:AM102"/>
    <mergeCell ref="B82:AO82"/>
    <mergeCell ref="B83:AO85"/>
    <mergeCell ref="B86:AO86"/>
    <mergeCell ref="B87:AO89"/>
    <mergeCell ref="B91:G91"/>
    <mergeCell ref="H91:L91"/>
    <mergeCell ref="N91:S91"/>
    <mergeCell ref="T91:Z91"/>
    <mergeCell ref="AB91:AG91"/>
    <mergeCell ref="AH91:AM91"/>
    <mergeCell ref="B71:AO71"/>
    <mergeCell ref="B72:AO74"/>
    <mergeCell ref="B75:AO75"/>
    <mergeCell ref="B76:AO78"/>
    <mergeCell ref="B80:G80"/>
    <mergeCell ref="H80:L80"/>
    <mergeCell ref="N80:S80"/>
    <mergeCell ref="T80:Z80"/>
    <mergeCell ref="AB80:AG80"/>
    <mergeCell ref="AH80:AM80"/>
    <mergeCell ref="B60:AO60"/>
    <mergeCell ref="B61:AO63"/>
    <mergeCell ref="B64:AO64"/>
    <mergeCell ref="B65:AO67"/>
    <mergeCell ref="B69:G69"/>
    <mergeCell ref="H69:L69"/>
    <mergeCell ref="N69:S69"/>
    <mergeCell ref="T69:Z69"/>
    <mergeCell ref="AB69:AG69"/>
    <mergeCell ref="AH69:AM69"/>
    <mergeCell ref="B49:AO49"/>
    <mergeCell ref="B50:AO52"/>
    <mergeCell ref="B53:AO53"/>
    <mergeCell ref="B54:AO56"/>
    <mergeCell ref="B58:G58"/>
    <mergeCell ref="H58:L58"/>
    <mergeCell ref="N58:S58"/>
    <mergeCell ref="T58:Z58"/>
    <mergeCell ref="AB58:AG58"/>
    <mergeCell ref="AH58:AM58"/>
    <mergeCell ref="B47:G47"/>
    <mergeCell ref="H47:L47"/>
    <mergeCell ref="N47:S47"/>
    <mergeCell ref="AB47:AG47"/>
    <mergeCell ref="AH47:AM47"/>
    <mergeCell ref="AB36:AG36"/>
    <mergeCell ref="AH36:AM36"/>
    <mergeCell ref="B38:AO38"/>
    <mergeCell ref="B39:AO41"/>
    <mergeCell ref="B42:AO42"/>
    <mergeCell ref="B43:AO45"/>
    <mergeCell ref="T47:X47"/>
    <mergeCell ref="Y47:Z47"/>
    <mergeCell ref="AH25:AM25"/>
    <mergeCell ref="B27:AO27"/>
    <mergeCell ref="B28:AO30"/>
    <mergeCell ref="B31:AO31"/>
    <mergeCell ref="B32:AO34"/>
    <mergeCell ref="B36:G36"/>
    <mergeCell ref="H36:L36"/>
    <mergeCell ref="N36:S36"/>
    <mergeCell ref="T36:X36"/>
    <mergeCell ref="Y36:Z36"/>
    <mergeCell ref="B25:G25"/>
    <mergeCell ref="H25:L25"/>
    <mergeCell ref="N25:S25"/>
    <mergeCell ref="T25:X25"/>
    <mergeCell ref="Y25:Z25"/>
    <mergeCell ref="AB25:AG25"/>
    <mergeCell ref="AC18:AJ19"/>
    <mergeCell ref="AL18:AN19"/>
    <mergeCell ref="B21:W21"/>
    <mergeCell ref="X21:AO21"/>
    <mergeCell ref="B22:X23"/>
    <mergeCell ref="Y22:AO23"/>
    <mergeCell ref="B16:L17"/>
    <mergeCell ref="M16:M17"/>
    <mergeCell ref="N16:P17"/>
    <mergeCell ref="R16:W16"/>
    <mergeCell ref="X16:AO16"/>
    <mergeCell ref="B18:L19"/>
    <mergeCell ref="M18:M19"/>
    <mergeCell ref="N18:P19"/>
    <mergeCell ref="R18:W19"/>
    <mergeCell ref="Y18:AA19"/>
    <mergeCell ref="B13:L13"/>
    <mergeCell ref="N13:P13"/>
    <mergeCell ref="R13:AO13"/>
    <mergeCell ref="B14:L15"/>
    <mergeCell ref="M14:M15"/>
    <mergeCell ref="N14:P15"/>
    <mergeCell ref="R14:W14"/>
    <mergeCell ref="X14:AO14"/>
    <mergeCell ref="R15:AO15"/>
    <mergeCell ref="B9:M9"/>
    <mergeCell ref="O9:W9"/>
    <mergeCell ref="AB9:AH9"/>
    <mergeCell ref="B12:M12"/>
    <mergeCell ref="N12:P12"/>
    <mergeCell ref="R12:AA12"/>
    <mergeCell ref="AB12:AO12"/>
    <mergeCell ref="I2:AE7"/>
    <mergeCell ref="AF2:AJ3"/>
    <mergeCell ref="AK2:AO3"/>
    <mergeCell ref="AF4:AJ5"/>
    <mergeCell ref="AK4:AO5"/>
    <mergeCell ref="AF6:AJ7"/>
    <mergeCell ref="AK6:AO7"/>
  </mergeCells>
  <pageMargins left="0.7" right="0.7" top="0.75" bottom="0.75" header="0.3" footer="0.3"/>
  <pageSetup paperSize="9" scale="54" orientation="portrait" r:id="rId1"/>
  <colBreaks count="1" manualBreakCount="1">
    <brk id="4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Lista!$A$2:$A$95</xm:f>
          </x14:formula1>
          <xm:sqref>X14:AO14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57"/>
  <sheetViews>
    <sheetView showGridLines="0" zoomScale="80" zoomScaleNormal="80" zoomScaleSheetLayoutView="85" workbookViewId="0">
      <pane ySplit="1" topLeftCell="A47" activePane="bottomLeft" state="frozen"/>
      <selection pane="bottomLeft" activeCell="AX54" sqref="AX54"/>
    </sheetView>
  </sheetViews>
  <sheetFormatPr baseColWidth="10" defaultColWidth="4.42578125" defaultRowHeight="15" customHeight="1" x14ac:dyDescent="0.35"/>
  <cols>
    <col min="1" max="1" width="5.7109375" style="229" customWidth="1"/>
    <col min="2" max="4" width="4.42578125" style="172" customWidth="1"/>
    <col min="5" max="5" width="9.140625" style="172" customWidth="1"/>
    <col min="6" max="8" width="4.42578125" style="172" customWidth="1"/>
    <col min="9" max="9" width="22.140625" style="172" customWidth="1"/>
    <col min="10" max="10" width="4" style="172" customWidth="1"/>
    <col min="11" max="11" width="10.42578125" style="172" customWidth="1"/>
    <col min="12" max="12" width="4.5703125" style="172" customWidth="1"/>
    <col min="13" max="14" width="4" style="172" customWidth="1"/>
    <col min="15" max="15" width="4.85546875" style="172" customWidth="1"/>
    <col min="16" max="16" width="7" style="172" customWidth="1"/>
    <col min="17" max="17" width="10.7109375" style="172" customWidth="1"/>
    <col min="18" max="21" width="4" style="172" customWidth="1"/>
    <col min="22" max="22" width="6.28515625" style="172" customWidth="1"/>
    <col min="23" max="24" width="4" style="172" customWidth="1"/>
    <col min="25" max="25" width="14.28515625" style="172" customWidth="1"/>
    <col min="26" max="27" width="4" style="172" customWidth="1"/>
    <col min="28" max="28" width="10.28515625" style="172" customWidth="1"/>
    <col min="29" max="29" width="6.28515625" style="172" customWidth="1"/>
    <col min="30" max="34" width="4" style="172" customWidth="1"/>
    <col min="35" max="35" width="11" style="172" customWidth="1"/>
    <col min="36" max="36" width="4.42578125" style="172" customWidth="1"/>
    <col min="37" max="37" width="29.85546875" style="206" customWidth="1"/>
    <col min="38" max="44" width="4.42578125" style="172"/>
    <col min="45" max="45" width="11.7109375" style="172" customWidth="1"/>
    <col min="46" max="16384" width="4.42578125" style="172"/>
  </cols>
  <sheetData>
    <row r="1" spans="1:37" ht="18.75" customHeight="1" x14ac:dyDescent="0.35"/>
    <row r="2" spans="1:37" ht="9.9499999999999993" customHeight="1" x14ac:dyDescent="0.35">
      <c r="B2" s="410"/>
      <c r="C2" s="411"/>
      <c r="D2" s="411"/>
      <c r="E2" s="411"/>
      <c r="F2" s="411"/>
      <c r="G2" s="411"/>
      <c r="H2" s="411"/>
      <c r="I2" s="412"/>
      <c r="J2" s="419" t="s">
        <v>236</v>
      </c>
      <c r="K2" s="420"/>
      <c r="L2" s="420"/>
      <c r="M2" s="420"/>
      <c r="N2" s="420"/>
      <c r="O2" s="420"/>
      <c r="P2" s="420"/>
      <c r="Q2" s="420"/>
      <c r="R2" s="420"/>
      <c r="S2" s="420"/>
      <c r="T2" s="420"/>
      <c r="U2" s="420"/>
      <c r="V2" s="420"/>
      <c r="W2" s="420"/>
      <c r="X2" s="420"/>
      <c r="Y2" s="420"/>
      <c r="Z2" s="420"/>
      <c r="AA2" s="420"/>
      <c r="AB2" s="421"/>
      <c r="AC2" s="428" t="s">
        <v>7</v>
      </c>
      <c r="AD2" s="428"/>
      <c r="AE2" s="428"/>
      <c r="AF2" s="430" t="s">
        <v>234</v>
      </c>
      <c r="AG2" s="431"/>
      <c r="AH2" s="431"/>
      <c r="AI2" s="432"/>
    </row>
    <row r="3" spans="1:37" ht="9.9499999999999993" customHeight="1" x14ac:dyDescent="0.35">
      <c r="B3" s="413"/>
      <c r="C3" s="414"/>
      <c r="D3" s="414"/>
      <c r="E3" s="414"/>
      <c r="F3" s="414"/>
      <c r="G3" s="414"/>
      <c r="H3" s="414"/>
      <c r="I3" s="415"/>
      <c r="J3" s="422"/>
      <c r="K3" s="423"/>
      <c r="L3" s="423"/>
      <c r="M3" s="423"/>
      <c r="N3" s="423"/>
      <c r="O3" s="423"/>
      <c r="P3" s="423"/>
      <c r="Q3" s="423"/>
      <c r="R3" s="423"/>
      <c r="S3" s="423"/>
      <c r="T3" s="423"/>
      <c r="U3" s="423"/>
      <c r="V3" s="423"/>
      <c r="W3" s="423"/>
      <c r="X3" s="423"/>
      <c r="Y3" s="423"/>
      <c r="Z3" s="423"/>
      <c r="AA3" s="423"/>
      <c r="AB3" s="424"/>
      <c r="AC3" s="429"/>
      <c r="AD3" s="429"/>
      <c r="AE3" s="429"/>
      <c r="AF3" s="433"/>
      <c r="AG3" s="434"/>
      <c r="AH3" s="434"/>
      <c r="AI3" s="435"/>
    </row>
    <row r="4" spans="1:37" ht="9.9499999999999993" customHeight="1" x14ac:dyDescent="0.35">
      <c r="B4" s="413"/>
      <c r="C4" s="414"/>
      <c r="D4" s="414"/>
      <c r="E4" s="414"/>
      <c r="F4" s="414"/>
      <c r="G4" s="414"/>
      <c r="H4" s="414"/>
      <c r="I4" s="415"/>
      <c r="J4" s="422"/>
      <c r="K4" s="423"/>
      <c r="L4" s="423"/>
      <c r="M4" s="423"/>
      <c r="N4" s="423"/>
      <c r="O4" s="423"/>
      <c r="P4" s="423"/>
      <c r="Q4" s="423"/>
      <c r="R4" s="423"/>
      <c r="S4" s="423"/>
      <c r="T4" s="423"/>
      <c r="U4" s="423"/>
      <c r="V4" s="423"/>
      <c r="W4" s="423"/>
      <c r="X4" s="423"/>
      <c r="Y4" s="423"/>
      <c r="Z4" s="423"/>
      <c r="AA4" s="423"/>
      <c r="AB4" s="424"/>
      <c r="AC4" s="428" t="s">
        <v>9</v>
      </c>
      <c r="AD4" s="428"/>
      <c r="AE4" s="436"/>
      <c r="AF4" s="438" t="s">
        <v>235</v>
      </c>
      <c r="AG4" s="439"/>
      <c r="AH4" s="439"/>
      <c r="AI4" s="440"/>
      <c r="AJ4" s="173"/>
      <c r="AK4" s="207"/>
    </row>
    <row r="5" spans="1:37" ht="9.9499999999999993" customHeight="1" x14ac:dyDescent="0.35">
      <c r="B5" s="413"/>
      <c r="C5" s="414"/>
      <c r="D5" s="414"/>
      <c r="E5" s="414"/>
      <c r="F5" s="414"/>
      <c r="G5" s="414"/>
      <c r="H5" s="414"/>
      <c r="I5" s="415"/>
      <c r="J5" s="422"/>
      <c r="K5" s="423"/>
      <c r="L5" s="423"/>
      <c r="M5" s="423"/>
      <c r="N5" s="423"/>
      <c r="O5" s="423"/>
      <c r="P5" s="423"/>
      <c r="Q5" s="423"/>
      <c r="R5" s="423"/>
      <c r="S5" s="423"/>
      <c r="T5" s="423"/>
      <c r="U5" s="423"/>
      <c r="V5" s="423"/>
      <c r="W5" s="423"/>
      <c r="X5" s="423"/>
      <c r="Y5" s="423"/>
      <c r="Z5" s="423"/>
      <c r="AA5" s="423"/>
      <c r="AB5" s="424"/>
      <c r="AC5" s="429"/>
      <c r="AD5" s="429"/>
      <c r="AE5" s="437"/>
      <c r="AF5" s="441"/>
      <c r="AG5" s="442"/>
      <c r="AH5" s="442"/>
      <c r="AI5" s="443"/>
      <c r="AJ5" s="173"/>
      <c r="AK5" s="207"/>
    </row>
    <row r="6" spans="1:37" ht="9.9499999999999993" customHeight="1" x14ac:dyDescent="0.35">
      <c r="B6" s="413"/>
      <c r="C6" s="414"/>
      <c r="D6" s="414"/>
      <c r="E6" s="414"/>
      <c r="F6" s="414"/>
      <c r="G6" s="414"/>
      <c r="H6" s="414"/>
      <c r="I6" s="415"/>
      <c r="J6" s="422"/>
      <c r="K6" s="423"/>
      <c r="L6" s="423"/>
      <c r="M6" s="423"/>
      <c r="N6" s="423"/>
      <c r="O6" s="423"/>
      <c r="P6" s="423"/>
      <c r="Q6" s="423"/>
      <c r="R6" s="423"/>
      <c r="S6" s="423"/>
      <c r="T6" s="423"/>
      <c r="U6" s="423"/>
      <c r="V6" s="423"/>
      <c r="W6" s="423"/>
      <c r="X6" s="423"/>
      <c r="Y6" s="423"/>
      <c r="Z6" s="423"/>
      <c r="AA6" s="423"/>
      <c r="AB6" s="424"/>
      <c r="AC6" s="428" t="s">
        <v>10</v>
      </c>
      <c r="AD6" s="428"/>
      <c r="AE6" s="428"/>
      <c r="AF6" s="444">
        <v>45923</v>
      </c>
      <c r="AG6" s="431"/>
      <c r="AH6" s="431"/>
      <c r="AI6" s="432"/>
      <c r="AJ6" s="174"/>
      <c r="AK6" s="208"/>
    </row>
    <row r="7" spans="1:37" ht="9.9499999999999993" customHeight="1" x14ac:dyDescent="0.35">
      <c r="B7" s="416"/>
      <c r="C7" s="417"/>
      <c r="D7" s="417"/>
      <c r="E7" s="417"/>
      <c r="F7" s="417"/>
      <c r="G7" s="417"/>
      <c r="H7" s="417"/>
      <c r="I7" s="418"/>
      <c r="J7" s="425"/>
      <c r="K7" s="426"/>
      <c r="L7" s="426"/>
      <c r="M7" s="426"/>
      <c r="N7" s="426"/>
      <c r="O7" s="426"/>
      <c r="P7" s="426"/>
      <c r="Q7" s="426"/>
      <c r="R7" s="426"/>
      <c r="S7" s="426"/>
      <c r="T7" s="426"/>
      <c r="U7" s="426"/>
      <c r="V7" s="426"/>
      <c r="W7" s="426"/>
      <c r="X7" s="426"/>
      <c r="Y7" s="426"/>
      <c r="Z7" s="426"/>
      <c r="AA7" s="426"/>
      <c r="AB7" s="427"/>
      <c r="AC7" s="429"/>
      <c r="AD7" s="429"/>
      <c r="AE7" s="429"/>
      <c r="AF7" s="433"/>
      <c r="AG7" s="434"/>
      <c r="AH7" s="434"/>
      <c r="AI7" s="435"/>
      <c r="AJ7" s="174"/>
      <c r="AK7" s="208"/>
    </row>
    <row r="8" spans="1:37" ht="9.9499999999999993" customHeight="1" x14ac:dyDescent="0.35"/>
    <row r="9" spans="1:37" ht="36" customHeight="1" x14ac:dyDescent="0.35">
      <c r="B9" s="349" t="s">
        <v>71</v>
      </c>
      <c r="C9" s="349"/>
      <c r="D9" s="349"/>
      <c r="E9" s="349"/>
      <c r="F9" s="349"/>
      <c r="G9" s="350" t="s">
        <v>156</v>
      </c>
      <c r="H9" s="351"/>
      <c r="I9" s="351"/>
      <c r="J9" s="351"/>
      <c r="K9" s="351"/>
      <c r="L9" s="352" t="s">
        <v>73</v>
      </c>
      <c r="M9" s="352"/>
      <c r="N9" s="352"/>
      <c r="O9" s="352"/>
      <c r="P9" s="352"/>
      <c r="Q9" s="352"/>
      <c r="R9" s="353" t="s">
        <v>140</v>
      </c>
      <c r="S9" s="353"/>
      <c r="T9" s="353"/>
      <c r="U9" s="353"/>
      <c r="V9" s="353"/>
      <c r="W9" s="353"/>
      <c r="X9" s="353"/>
      <c r="Y9" s="353"/>
      <c r="Z9" s="352" t="s">
        <v>74</v>
      </c>
      <c r="AA9" s="352"/>
      <c r="AB9" s="352"/>
      <c r="AC9" s="354" t="e" vm="1">
        <v>#VALUE!</v>
      </c>
      <c r="AD9" s="355"/>
      <c r="AE9" s="355"/>
      <c r="AF9" s="355"/>
      <c r="AG9" s="355"/>
      <c r="AH9" s="355"/>
      <c r="AI9" s="356"/>
    </row>
    <row r="10" spans="1:37" ht="31.5" customHeight="1" x14ac:dyDescent="0.35">
      <c r="B10" s="349" t="s">
        <v>75</v>
      </c>
      <c r="C10" s="349"/>
      <c r="D10" s="349"/>
      <c r="E10" s="349"/>
      <c r="F10" s="349"/>
      <c r="G10" s="445" t="s">
        <v>358</v>
      </c>
      <c r="H10" s="446"/>
      <c r="I10" s="446"/>
      <c r="J10" s="446"/>
      <c r="K10" s="446"/>
      <c r="L10" s="352" t="s">
        <v>76</v>
      </c>
      <c r="M10" s="352"/>
      <c r="N10" s="352"/>
      <c r="O10" s="352"/>
      <c r="P10" s="352"/>
      <c r="Q10" s="352"/>
      <c r="R10" s="353"/>
      <c r="S10" s="353"/>
      <c r="T10" s="353"/>
      <c r="U10" s="353"/>
      <c r="V10" s="353"/>
      <c r="W10" s="353"/>
      <c r="X10" s="353"/>
      <c r="Y10" s="353"/>
      <c r="Z10" s="352" t="s">
        <v>74</v>
      </c>
      <c r="AA10" s="352"/>
      <c r="AB10" s="352"/>
      <c r="AC10" s="447"/>
      <c r="AD10" s="448"/>
      <c r="AE10" s="448"/>
      <c r="AF10" s="448"/>
      <c r="AG10" s="448"/>
      <c r="AH10" s="448"/>
      <c r="AI10" s="449"/>
    </row>
    <row r="11" spans="1:37" ht="9.9499999999999993" customHeight="1" x14ac:dyDescent="0.35"/>
    <row r="12" spans="1:37" ht="18" x14ac:dyDescent="0.35">
      <c r="B12" s="402" t="s">
        <v>77</v>
      </c>
      <c r="C12" s="402"/>
      <c r="D12" s="402"/>
      <c r="E12" s="402"/>
      <c r="F12" s="402"/>
      <c r="G12" s="402"/>
      <c r="H12" s="402"/>
      <c r="I12" s="402"/>
      <c r="J12" s="402" t="s">
        <v>78</v>
      </c>
      <c r="K12" s="402"/>
      <c r="L12" s="402"/>
      <c r="M12" s="402"/>
      <c r="N12" s="402"/>
      <c r="O12" s="402"/>
      <c r="P12" s="402"/>
      <c r="Q12" s="403" t="s">
        <v>79</v>
      </c>
      <c r="R12" s="404"/>
      <c r="S12" s="404"/>
      <c r="T12" s="404"/>
      <c r="U12" s="404"/>
      <c r="V12" s="404"/>
      <c r="W12" s="404"/>
      <c r="X12" s="404"/>
      <c r="Y12" s="404"/>
      <c r="Z12" s="404"/>
      <c r="AA12" s="404"/>
      <c r="AB12" s="404"/>
      <c r="AC12" s="405"/>
      <c r="AD12" s="402" t="s">
        <v>80</v>
      </c>
      <c r="AE12" s="402"/>
      <c r="AF12" s="402"/>
      <c r="AG12" s="402"/>
      <c r="AH12" s="402"/>
      <c r="AI12" s="402"/>
      <c r="AK12" s="347" t="s">
        <v>227</v>
      </c>
    </row>
    <row r="13" spans="1:37" ht="15" customHeight="1" x14ac:dyDescent="0.35">
      <c r="B13" s="402"/>
      <c r="C13" s="402"/>
      <c r="D13" s="402"/>
      <c r="E13" s="402"/>
      <c r="F13" s="402"/>
      <c r="G13" s="402"/>
      <c r="H13" s="402"/>
      <c r="I13" s="402"/>
      <c r="J13" s="409" t="s">
        <v>237</v>
      </c>
      <c r="K13" s="409"/>
      <c r="L13" s="409"/>
      <c r="M13" s="409" t="s">
        <v>238</v>
      </c>
      <c r="N13" s="409"/>
      <c r="O13" s="409"/>
      <c r="P13" s="409"/>
      <c r="Q13" s="406"/>
      <c r="R13" s="407"/>
      <c r="S13" s="407"/>
      <c r="T13" s="407"/>
      <c r="U13" s="407"/>
      <c r="V13" s="407"/>
      <c r="W13" s="407"/>
      <c r="X13" s="407"/>
      <c r="Y13" s="407"/>
      <c r="Z13" s="407"/>
      <c r="AA13" s="407"/>
      <c r="AB13" s="407"/>
      <c r="AC13" s="408"/>
      <c r="AD13" s="402"/>
      <c r="AE13" s="402"/>
      <c r="AF13" s="402"/>
      <c r="AG13" s="402"/>
      <c r="AH13" s="402"/>
      <c r="AI13" s="402"/>
      <c r="AJ13" s="175"/>
      <c r="AK13" s="348"/>
    </row>
    <row r="14" spans="1:37" s="174" customFormat="1" ht="20.100000000000001" customHeight="1" x14ac:dyDescent="0.25">
      <c r="A14" s="230"/>
      <c r="B14" s="357" t="s">
        <v>181</v>
      </c>
      <c r="C14" s="358"/>
      <c r="D14" s="358"/>
      <c r="E14" s="358"/>
      <c r="F14" s="358"/>
      <c r="G14" s="358"/>
      <c r="H14" s="358"/>
      <c r="I14" s="359"/>
      <c r="J14" s="366">
        <v>0.94</v>
      </c>
      <c r="K14" s="367"/>
      <c r="L14" s="368"/>
      <c r="M14" s="375">
        <v>45965</v>
      </c>
      <c r="N14" s="376"/>
      <c r="O14" s="376"/>
      <c r="P14" s="377"/>
      <c r="Q14" s="384" t="s">
        <v>359</v>
      </c>
      <c r="R14" s="385"/>
      <c r="S14" s="385"/>
      <c r="T14" s="385"/>
      <c r="U14" s="385"/>
      <c r="V14" s="385"/>
      <c r="W14" s="385"/>
      <c r="X14" s="385"/>
      <c r="Y14" s="385"/>
      <c r="Z14" s="385"/>
      <c r="AA14" s="385"/>
      <c r="AB14" s="385"/>
      <c r="AC14" s="386"/>
      <c r="AD14" s="393" t="e" vm="2">
        <v>#VALUE!</v>
      </c>
      <c r="AE14" s="394"/>
      <c r="AF14" s="394"/>
      <c r="AG14" s="394"/>
      <c r="AH14" s="394"/>
      <c r="AI14" s="395"/>
      <c r="AK14" s="344" t="s">
        <v>259</v>
      </c>
    </row>
    <row r="15" spans="1:37" s="174" customFormat="1" ht="20.100000000000001" customHeight="1" x14ac:dyDescent="0.25">
      <c r="A15" s="230">
        <v>1</v>
      </c>
      <c r="B15" s="360"/>
      <c r="C15" s="361"/>
      <c r="D15" s="361"/>
      <c r="E15" s="361"/>
      <c r="F15" s="361"/>
      <c r="G15" s="361"/>
      <c r="H15" s="361"/>
      <c r="I15" s="362"/>
      <c r="J15" s="369"/>
      <c r="K15" s="370"/>
      <c r="L15" s="371"/>
      <c r="M15" s="378"/>
      <c r="N15" s="379"/>
      <c r="O15" s="379"/>
      <c r="P15" s="380"/>
      <c r="Q15" s="387"/>
      <c r="R15" s="388"/>
      <c r="S15" s="388"/>
      <c r="T15" s="388"/>
      <c r="U15" s="388"/>
      <c r="V15" s="388"/>
      <c r="W15" s="388"/>
      <c r="X15" s="388"/>
      <c r="Y15" s="388"/>
      <c r="Z15" s="388"/>
      <c r="AA15" s="388"/>
      <c r="AB15" s="388"/>
      <c r="AC15" s="389"/>
      <c r="AD15" s="396"/>
      <c r="AE15" s="397"/>
      <c r="AF15" s="397"/>
      <c r="AG15" s="397"/>
      <c r="AH15" s="397"/>
      <c r="AI15" s="398"/>
      <c r="AK15" s="345"/>
    </row>
    <row r="16" spans="1:37" s="174" customFormat="1" ht="20.100000000000001" customHeight="1" x14ac:dyDescent="0.25">
      <c r="A16" s="230"/>
      <c r="B16" s="360"/>
      <c r="C16" s="361"/>
      <c r="D16" s="361"/>
      <c r="E16" s="361"/>
      <c r="F16" s="361"/>
      <c r="G16" s="361"/>
      <c r="H16" s="361"/>
      <c r="I16" s="362"/>
      <c r="J16" s="369"/>
      <c r="K16" s="370"/>
      <c r="L16" s="371"/>
      <c r="M16" s="378"/>
      <c r="N16" s="379"/>
      <c r="O16" s="379"/>
      <c r="P16" s="380"/>
      <c r="Q16" s="387"/>
      <c r="R16" s="388"/>
      <c r="S16" s="388"/>
      <c r="T16" s="388"/>
      <c r="U16" s="388"/>
      <c r="V16" s="388"/>
      <c r="W16" s="388"/>
      <c r="X16" s="388"/>
      <c r="Y16" s="388"/>
      <c r="Z16" s="388"/>
      <c r="AA16" s="388"/>
      <c r="AB16" s="388"/>
      <c r="AC16" s="389"/>
      <c r="AD16" s="396"/>
      <c r="AE16" s="397"/>
      <c r="AF16" s="397"/>
      <c r="AG16" s="397"/>
      <c r="AH16" s="397"/>
      <c r="AI16" s="398"/>
      <c r="AK16" s="345"/>
    </row>
    <row r="17" spans="1:37" s="174" customFormat="1" ht="20.100000000000001" customHeight="1" x14ac:dyDescent="0.25">
      <c r="A17" s="230"/>
      <c r="B17" s="363"/>
      <c r="C17" s="364"/>
      <c r="D17" s="364"/>
      <c r="E17" s="364"/>
      <c r="F17" s="364"/>
      <c r="G17" s="364"/>
      <c r="H17" s="364"/>
      <c r="I17" s="365"/>
      <c r="J17" s="372"/>
      <c r="K17" s="373"/>
      <c r="L17" s="374"/>
      <c r="M17" s="381"/>
      <c r="N17" s="382"/>
      <c r="O17" s="382"/>
      <c r="P17" s="383"/>
      <c r="Q17" s="390"/>
      <c r="R17" s="391"/>
      <c r="S17" s="391"/>
      <c r="T17" s="391"/>
      <c r="U17" s="391"/>
      <c r="V17" s="391"/>
      <c r="W17" s="391"/>
      <c r="X17" s="391"/>
      <c r="Y17" s="391"/>
      <c r="Z17" s="391"/>
      <c r="AA17" s="391"/>
      <c r="AB17" s="391"/>
      <c r="AC17" s="392"/>
      <c r="AD17" s="399"/>
      <c r="AE17" s="400"/>
      <c r="AF17" s="400"/>
      <c r="AG17" s="400"/>
      <c r="AH17" s="400"/>
      <c r="AI17" s="401"/>
      <c r="AK17" s="346"/>
    </row>
    <row r="18" spans="1:37" s="174" customFormat="1" ht="20.100000000000001" customHeight="1" x14ac:dyDescent="0.25">
      <c r="A18" s="230"/>
      <c r="B18" s="402" t="s">
        <v>77</v>
      </c>
      <c r="C18" s="402"/>
      <c r="D18" s="402"/>
      <c r="E18" s="402"/>
      <c r="F18" s="402"/>
      <c r="G18" s="402"/>
      <c r="H18" s="402"/>
      <c r="I18" s="402"/>
      <c r="J18" s="402" t="s">
        <v>78</v>
      </c>
      <c r="K18" s="402"/>
      <c r="L18" s="402"/>
      <c r="M18" s="402"/>
      <c r="N18" s="402"/>
      <c r="O18" s="402"/>
      <c r="P18" s="402"/>
      <c r="Q18" s="403" t="s">
        <v>79</v>
      </c>
      <c r="R18" s="404"/>
      <c r="S18" s="404"/>
      <c r="T18" s="404"/>
      <c r="U18" s="404"/>
      <c r="V18" s="404"/>
      <c r="W18" s="404"/>
      <c r="X18" s="404"/>
      <c r="Y18" s="404"/>
      <c r="Z18" s="404"/>
      <c r="AA18" s="404"/>
      <c r="AB18" s="404"/>
      <c r="AC18" s="405"/>
      <c r="AD18" s="402" t="s">
        <v>80</v>
      </c>
      <c r="AE18" s="402"/>
      <c r="AF18" s="402"/>
      <c r="AG18" s="402"/>
      <c r="AH18" s="402"/>
      <c r="AI18" s="402"/>
      <c r="AK18" s="347" t="s">
        <v>227</v>
      </c>
    </row>
    <row r="19" spans="1:37" s="174" customFormat="1" ht="20.100000000000001" customHeight="1" x14ac:dyDescent="0.25">
      <c r="A19" s="230"/>
      <c r="B19" s="402"/>
      <c r="C19" s="402"/>
      <c r="D19" s="402"/>
      <c r="E19" s="402"/>
      <c r="F19" s="402"/>
      <c r="G19" s="402"/>
      <c r="H19" s="402"/>
      <c r="I19" s="402"/>
      <c r="J19" s="409" t="s">
        <v>237</v>
      </c>
      <c r="K19" s="409"/>
      <c r="L19" s="409"/>
      <c r="M19" s="409" t="s">
        <v>238</v>
      </c>
      <c r="N19" s="409"/>
      <c r="O19" s="409"/>
      <c r="P19" s="409"/>
      <c r="Q19" s="406"/>
      <c r="R19" s="407"/>
      <c r="S19" s="407"/>
      <c r="T19" s="407"/>
      <c r="U19" s="407"/>
      <c r="V19" s="407"/>
      <c r="W19" s="407"/>
      <c r="X19" s="407"/>
      <c r="Y19" s="407"/>
      <c r="Z19" s="407"/>
      <c r="AA19" s="407"/>
      <c r="AB19" s="407"/>
      <c r="AC19" s="408"/>
      <c r="AD19" s="402"/>
      <c r="AE19" s="402"/>
      <c r="AF19" s="402"/>
      <c r="AG19" s="402"/>
      <c r="AH19" s="402"/>
      <c r="AI19" s="402"/>
      <c r="AK19" s="348"/>
    </row>
    <row r="20" spans="1:37" s="174" customFormat="1" ht="27" customHeight="1" x14ac:dyDescent="0.25">
      <c r="A20" s="230"/>
      <c r="B20" s="357" t="s">
        <v>182</v>
      </c>
      <c r="C20" s="358"/>
      <c r="D20" s="358"/>
      <c r="E20" s="358"/>
      <c r="F20" s="358"/>
      <c r="G20" s="358"/>
      <c r="H20" s="358"/>
      <c r="I20" s="359"/>
      <c r="J20" s="366">
        <v>0.94</v>
      </c>
      <c r="K20" s="367"/>
      <c r="L20" s="368"/>
      <c r="M20" s="375">
        <v>45965</v>
      </c>
      <c r="N20" s="376"/>
      <c r="O20" s="376"/>
      <c r="P20" s="377"/>
      <c r="Q20" s="384" t="s">
        <v>360</v>
      </c>
      <c r="R20" s="385"/>
      <c r="S20" s="385"/>
      <c r="T20" s="385"/>
      <c r="U20" s="385"/>
      <c r="V20" s="385"/>
      <c r="W20" s="385"/>
      <c r="X20" s="385"/>
      <c r="Y20" s="385"/>
      <c r="Z20" s="385"/>
      <c r="AA20" s="385"/>
      <c r="AB20" s="385"/>
      <c r="AC20" s="386"/>
      <c r="AD20" s="393" t="e" vm="3">
        <v>#VALUE!</v>
      </c>
      <c r="AE20" s="394"/>
      <c r="AF20" s="394"/>
      <c r="AG20" s="394"/>
      <c r="AH20" s="394"/>
      <c r="AI20" s="395"/>
      <c r="AK20" s="344" t="s">
        <v>261</v>
      </c>
    </row>
    <row r="21" spans="1:37" s="174" customFormat="1" ht="27" customHeight="1" x14ac:dyDescent="0.25">
      <c r="A21" s="230">
        <v>2</v>
      </c>
      <c r="B21" s="360"/>
      <c r="C21" s="361"/>
      <c r="D21" s="361"/>
      <c r="E21" s="361"/>
      <c r="F21" s="361"/>
      <c r="G21" s="361"/>
      <c r="H21" s="361"/>
      <c r="I21" s="362"/>
      <c r="J21" s="369"/>
      <c r="K21" s="370"/>
      <c r="L21" s="371"/>
      <c r="M21" s="378"/>
      <c r="N21" s="379"/>
      <c r="O21" s="379"/>
      <c r="P21" s="380"/>
      <c r="Q21" s="387"/>
      <c r="R21" s="388"/>
      <c r="S21" s="388"/>
      <c r="T21" s="388"/>
      <c r="U21" s="388"/>
      <c r="V21" s="388"/>
      <c r="W21" s="388"/>
      <c r="X21" s="388"/>
      <c r="Y21" s="388"/>
      <c r="Z21" s="388"/>
      <c r="AA21" s="388"/>
      <c r="AB21" s="388"/>
      <c r="AC21" s="389"/>
      <c r="AD21" s="396"/>
      <c r="AE21" s="397"/>
      <c r="AF21" s="397"/>
      <c r="AG21" s="397"/>
      <c r="AH21" s="397"/>
      <c r="AI21" s="398"/>
      <c r="AK21" s="345"/>
    </row>
    <row r="22" spans="1:37" s="174" customFormat="1" ht="27" customHeight="1" x14ac:dyDescent="0.25">
      <c r="A22" s="230"/>
      <c r="B22" s="360"/>
      <c r="C22" s="361"/>
      <c r="D22" s="361"/>
      <c r="E22" s="361"/>
      <c r="F22" s="361"/>
      <c r="G22" s="361"/>
      <c r="H22" s="361"/>
      <c r="I22" s="362"/>
      <c r="J22" s="369"/>
      <c r="K22" s="370"/>
      <c r="L22" s="371"/>
      <c r="M22" s="378"/>
      <c r="N22" s="379"/>
      <c r="O22" s="379"/>
      <c r="P22" s="380"/>
      <c r="Q22" s="387"/>
      <c r="R22" s="388"/>
      <c r="S22" s="388"/>
      <c r="T22" s="388"/>
      <c r="U22" s="388"/>
      <c r="V22" s="388"/>
      <c r="W22" s="388"/>
      <c r="X22" s="388"/>
      <c r="Y22" s="388"/>
      <c r="Z22" s="388"/>
      <c r="AA22" s="388"/>
      <c r="AB22" s="388"/>
      <c r="AC22" s="389"/>
      <c r="AD22" s="396"/>
      <c r="AE22" s="397"/>
      <c r="AF22" s="397"/>
      <c r="AG22" s="397"/>
      <c r="AH22" s="397"/>
      <c r="AI22" s="398"/>
      <c r="AK22" s="345"/>
    </row>
    <row r="23" spans="1:37" s="174" customFormat="1" ht="27" customHeight="1" x14ac:dyDescent="0.25">
      <c r="A23" s="230"/>
      <c r="B23" s="363"/>
      <c r="C23" s="364"/>
      <c r="D23" s="364"/>
      <c r="E23" s="364"/>
      <c r="F23" s="364"/>
      <c r="G23" s="364"/>
      <c r="H23" s="364"/>
      <c r="I23" s="365"/>
      <c r="J23" s="372"/>
      <c r="K23" s="373"/>
      <c r="L23" s="374"/>
      <c r="M23" s="381"/>
      <c r="N23" s="382"/>
      <c r="O23" s="382"/>
      <c r="P23" s="383"/>
      <c r="Q23" s="390"/>
      <c r="R23" s="391"/>
      <c r="S23" s="391"/>
      <c r="T23" s="391"/>
      <c r="U23" s="391"/>
      <c r="V23" s="391"/>
      <c r="W23" s="391"/>
      <c r="X23" s="391"/>
      <c r="Y23" s="391"/>
      <c r="Z23" s="391"/>
      <c r="AA23" s="391"/>
      <c r="AB23" s="391"/>
      <c r="AC23" s="392"/>
      <c r="AD23" s="399"/>
      <c r="AE23" s="400"/>
      <c r="AF23" s="400"/>
      <c r="AG23" s="400"/>
      <c r="AH23" s="400"/>
      <c r="AI23" s="401"/>
      <c r="AK23" s="346"/>
    </row>
    <row r="24" spans="1:37" s="174" customFormat="1" ht="20.100000000000001" customHeight="1" x14ac:dyDescent="0.25">
      <c r="A24" s="230"/>
      <c r="B24" s="402" t="s">
        <v>77</v>
      </c>
      <c r="C24" s="402"/>
      <c r="D24" s="402"/>
      <c r="E24" s="402"/>
      <c r="F24" s="402"/>
      <c r="G24" s="402"/>
      <c r="H24" s="402"/>
      <c r="I24" s="402"/>
      <c r="J24" s="402" t="s">
        <v>78</v>
      </c>
      <c r="K24" s="402"/>
      <c r="L24" s="402"/>
      <c r="M24" s="402"/>
      <c r="N24" s="402"/>
      <c r="O24" s="402"/>
      <c r="P24" s="402"/>
      <c r="Q24" s="403" t="s">
        <v>79</v>
      </c>
      <c r="R24" s="404"/>
      <c r="S24" s="404"/>
      <c r="T24" s="404"/>
      <c r="U24" s="404"/>
      <c r="V24" s="404"/>
      <c r="W24" s="404"/>
      <c r="X24" s="404"/>
      <c r="Y24" s="404"/>
      <c r="Z24" s="404"/>
      <c r="AA24" s="404"/>
      <c r="AB24" s="404"/>
      <c r="AC24" s="405"/>
      <c r="AD24" s="402" t="s">
        <v>80</v>
      </c>
      <c r="AE24" s="402"/>
      <c r="AF24" s="402"/>
      <c r="AG24" s="402"/>
      <c r="AH24" s="402"/>
      <c r="AI24" s="402"/>
      <c r="AK24" s="347" t="s">
        <v>227</v>
      </c>
    </row>
    <row r="25" spans="1:37" s="174" customFormat="1" ht="20.100000000000001" customHeight="1" x14ac:dyDescent="0.25">
      <c r="A25" s="230"/>
      <c r="B25" s="402"/>
      <c r="C25" s="402"/>
      <c r="D25" s="402"/>
      <c r="E25" s="402"/>
      <c r="F25" s="402"/>
      <c r="G25" s="402"/>
      <c r="H25" s="402"/>
      <c r="I25" s="402"/>
      <c r="J25" s="409" t="s">
        <v>237</v>
      </c>
      <c r="K25" s="409"/>
      <c r="L25" s="409"/>
      <c r="M25" s="409" t="s">
        <v>238</v>
      </c>
      <c r="N25" s="409"/>
      <c r="O25" s="409"/>
      <c r="P25" s="409"/>
      <c r="Q25" s="406"/>
      <c r="R25" s="407"/>
      <c r="S25" s="407"/>
      <c r="T25" s="407"/>
      <c r="U25" s="407"/>
      <c r="V25" s="407"/>
      <c r="W25" s="407"/>
      <c r="X25" s="407"/>
      <c r="Y25" s="407"/>
      <c r="Z25" s="407"/>
      <c r="AA25" s="407"/>
      <c r="AB25" s="407"/>
      <c r="AC25" s="408"/>
      <c r="AD25" s="402"/>
      <c r="AE25" s="402"/>
      <c r="AF25" s="402"/>
      <c r="AG25" s="402"/>
      <c r="AH25" s="402"/>
      <c r="AI25" s="402"/>
      <c r="AK25" s="348"/>
    </row>
    <row r="26" spans="1:37" s="174" customFormat="1" ht="20.100000000000001" customHeight="1" x14ac:dyDescent="0.25">
      <c r="A26" s="230"/>
      <c r="B26" s="357" t="s">
        <v>174</v>
      </c>
      <c r="C26" s="358"/>
      <c r="D26" s="358"/>
      <c r="E26" s="358"/>
      <c r="F26" s="358"/>
      <c r="G26" s="358"/>
      <c r="H26" s="358"/>
      <c r="I26" s="359"/>
      <c r="J26" s="366">
        <v>0.88</v>
      </c>
      <c r="K26" s="367"/>
      <c r="L26" s="368"/>
      <c r="M26" s="375">
        <v>45979</v>
      </c>
      <c r="N26" s="376"/>
      <c r="O26" s="376"/>
      <c r="P26" s="377"/>
      <c r="Q26" s="450" t="s">
        <v>588</v>
      </c>
      <c r="R26" s="451"/>
      <c r="S26" s="451"/>
      <c r="T26" s="451"/>
      <c r="U26" s="451"/>
      <c r="V26" s="451"/>
      <c r="W26" s="451"/>
      <c r="X26" s="451"/>
      <c r="Y26" s="451"/>
      <c r="Z26" s="451"/>
      <c r="AA26" s="451"/>
      <c r="AB26" s="451"/>
      <c r="AC26" s="452"/>
      <c r="AD26" s="393" t="e" vm="4">
        <v>#VALUE!</v>
      </c>
      <c r="AE26" s="394"/>
      <c r="AF26" s="394"/>
      <c r="AG26" s="394"/>
      <c r="AH26" s="394"/>
      <c r="AI26" s="395"/>
      <c r="AK26" s="344" t="s">
        <v>509</v>
      </c>
    </row>
    <row r="27" spans="1:37" s="174" customFormat="1" ht="20.100000000000001" customHeight="1" x14ac:dyDescent="0.25">
      <c r="A27" s="230">
        <v>3</v>
      </c>
      <c r="B27" s="360"/>
      <c r="C27" s="361"/>
      <c r="D27" s="361"/>
      <c r="E27" s="361"/>
      <c r="F27" s="361"/>
      <c r="G27" s="361"/>
      <c r="H27" s="361"/>
      <c r="I27" s="362"/>
      <c r="J27" s="369"/>
      <c r="K27" s="370"/>
      <c r="L27" s="371"/>
      <c r="M27" s="378"/>
      <c r="N27" s="379"/>
      <c r="O27" s="379"/>
      <c r="P27" s="380"/>
      <c r="Q27" s="453"/>
      <c r="R27" s="454"/>
      <c r="S27" s="454"/>
      <c r="T27" s="454"/>
      <c r="U27" s="454"/>
      <c r="V27" s="454"/>
      <c r="W27" s="454"/>
      <c r="X27" s="454"/>
      <c r="Y27" s="454"/>
      <c r="Z27" s="454"/>
      <c r="AA27" s="454"/>
      <c r="AB27" s="454"/>
      <c r="AC27" s="455"/>
      <c r="AD27" s="396"/>
      <c r="AE27" s="397"/>
      <c r="AF27" s="397"/>
      <c r="AG27" s="397"/>
      <c r="AH27" s="397"/>
      <c r="AI27" s="398"/>
      <c r="AK27" s="345"/>
    </row>
    <row r="28" spans="1:37" s="174" customFormat="1" ht="20.100000000000001" customHeight="1" x14ac:dyDescent="0.25">
      <c r="A28" s="230"/>
      <c r="B28" s="360"/>
      <c r="C28" s="361"/>
      <c r="D28" s="361"/>
      <c r="E28" s="361"/>
      <c r="F28" s="361"/>
      <c r="G28" s="361"/>
      <c r="H28" s="361"/>
      <c r="I28" s="362"/>
      <c r="J28" s="369"/>
      <c r="K28" s="370"/>
      <c r="L28" s="371"/>
      <c r="M28" s="378"/>
      <c r="N28" s="379"/>
      <c r="O28" s="379"/>
      <c r="P28" s="380"/>
      <c r="Q28" s="453"/>
      <c r="R28" s="454"/>
      <c r="S28" s="454"/>
      <c r="T28" s="454"/>
      <c r="U28" s="454"/>
      <c r="V28" s="454"/>
      <c r="W28" s="454"/>
      <c r="X28" s="454"/>
      <c r="Y28" s="454"/>
      <c r="Z28" s="454"/>
      <c r="AA28" s="454"/>
      <c r="AB28" s="454"/>
      <c r="AC28" s="455"/>
      <c r="AD28" s="396"/>
      <c r="AE28" s="397"/>
      <c r="AF28" s="397"/>
      <c r="AG28" s="397"/>
      <c r="AH28" s="397"/>
      <c r="AI28" s="398"/>
      <c r="AK28" s="345"/>
    </row>
    <row r="29" spans="1:37" s="174" customFormat="1" ht="20.100000000000001" customHeight="1" x14ac:dyDescent="0.25">
      <c r="A29" s="230"/>
      <c r="B29" s="363"/>
      <c r="C29" s="364"/>
      <c r="D29" s="364"/>
      <c r="E29" s="364"/>
      <c r="F29" s="364"/>
      <c r="G29" s="364"/>
      <c r="H29" s="364"/>
      <c r="I29" s="365"/>
      <c r="J29" s="372"/>
      <c r="K29" s="373"/>
      <c r="L29" s="374"/>
      <c r="M29" s="381"/>
      <c r="N29" s="382"/>
      <c r="O29" s="382"/>
      <c r="P29" s="383"/>
      <c r="Q29" s="456"/>
      <c r="R29" s="457"/>
      <c r="S29" s="457"/>
      <c r="T29" s="457"/>
      <c r="U29" s="457"/>
      <c r="V29" s="457"/>
      <c r="W29" s="457"/>
      <c r="X29" s="457"/>
      <c r="Y29" s="457"/>
      <c r="Z29" s="457"/>
      <c r="AA29" s="457"/>
      <c r="AB29" s="457"/>
      <c r="AC29" s="458"/>
      <c r="AD29" s="399"/>
      <c r="AE29" s="400"/>
      <c r="AF29" s="400"/>
      <c r="AG29" s="400"/>
      <c r="AH29" s="400"/>
      <c r="AI29" s="401"/>
      <c r="AK29" s="346"/>
    </row>
    <row r="30" spans="1:37" s="174" customFormat="1" ht="20.100000000000001" customHeight="1" x14ac:dyDescent="0.25">
      <c r="A30" s="230"/>
      <c r="B30" s="402" t="s">
        <v>77</v>
      </c>
      <c r="C30" s="402"/>
      <c r="D30" s="402"/>
      <c r="E30" s="402"/>
      <c r="F30" s="402"/>
      <c r="G30" s="402"/>
      <c r="H30" s="402"/>
      <c r="I30" s="402"/>
      <c r="J30" s="402" t="s">
        <v>78</v>
      </c>
      <c r="K30" s="402"/>
      <c r="L30" s="402"/>
      <c r="M30" s="402"/>
      <c r="N30" s="402"/>
      <c r="O30" s="402"/>
      <c r="P30" s="402"/>
      <c r="Q30" s="403" t="s">
        <v>79</v>
      </c>
      <c r="R30" s="404"/>
      <c r="S30" s="404"/>
      <c r="T30" s="404"/>
      <c r="U30" s="404"/>
      <c r="V30" s="404"/>
      <c r="W30" s="404"/>
      <c r="X30" s="404"/>
      <c r="Y30" s="404"/>
      <c r="Z30" s="404"/>
      <c r="AA30" s="404"/>
      <c r="AB30" s="404"/>
      <c r="AC30" s="405"/>
      <c r="AD30" s="402" t="s">
        <v>80</v>
      </c>
      <c r="AE30" s="402"/>
      <c r="AF30" s="402"/>
      <c r="AG30" s="402"/>
      <c r="AH30" s="402"/>
      <c r="AI30" s="402"/>
      <c r="AK30" s="347" t="s">
        <v>227</v>
      </c>
    </row>
    <row r="31" spans="1:37" s="174" customFormat="1" ht="20.100000000000001" customHeight="1" x14ac:dyDescent="0.25">
      <c r="A31" s="230"/>
      <c r="B31" s="402"/>
      <c r="C31" s="402"/>
      <c r="D31" s="402"/>
      <c r="E31" s="402"/>
      <c r="F31" s="402"/>
      <c r="G31" s="402"/>
      <c r="H31" s="402"/>
      <c r="I31" s="402"/>
      <c r="J31" s="409" t="s">
        <v>237</v>
      </c>
      <c r="K31" s="409"/>
      <c r="L31" s="409"/>
      <c r="M31" s="409" t="s">
        <v>238</v>
      </c>
      <c r="N31" s="409"/>
      <c r="O31" s="409"/>
      <c r="P31" s="409"/>
      <c r="Q31" s="406"/>
      <c r="R31" s="407"/>
      <c r="S31" s="407"/>
      <c r="T31" s="407"/>
      <c r="U31" s="407"/>
      <c r="V31" s="407"/>
      <c r="W31" s="407"/>
      <c r="X31" s="407"/>
      <c r="Y31" s="407"/>
      <c r="Z31" s="407"/>
      <c r="AA31" s="407"/>
      <c r="AB31" s="407"/>
      <c r="AC31" s="408"/>
      <c r="AD31" s="402"/>
      <c r="AE31" s="402"/>
      <c r="AF31" s="402"/>
      <c r="AG31" s="402"/>
      <c r="AH31" s="402"/>
      <c r="AI31" s="402"/>
      <c r="AK31" s="348"/>
    </row>
    <row r="32" spans="1:37" s="174" customFormat="1" ht="20.100000000000001" customHeight="1" x14ac:dyDescent="0.25">
      <c r="A32" s="230"/>
      <c r="B32" s="357" t="s">
        <v>177</v>
      </c>
      <c r="C32" s="358"/>
      <c r="D32" s="358"/>
      <c r="E32" s="358"/>
      <c r="F32" s="358"/>
      <c r="G32" s="358"/>
      <c r="H32" s="358"/>
      <c r="I32" s="359"/>
      <c r="J32" s="366">
        <v>0.94</v>
      </c>
      <c r="K32" s="367"/>
      <c r="L32" s="368"/>
      <c r="M32" s="375">
        <v>45979</v>
      </c>
      <c r="N32" s="376"/>
      <c r="O32" s="376"/>
      <c r="P32" s="377"/>
      <c r="Q32" s="384" t="s">
        <v>578</v>
      </c>
      <c r="R32" s="385"/>
      <c r="S32" s="385"/>
      <c r="T32" s="385"/>
      <c r="U32" s="385"/>
      <c r="V32" s="385"/>
      <c r="W32" s="385"/>
      <c r="X32" s="385"/>
      <c r="Y32" s="385"/>
      <c r="Z32" s="385"/>
      <c r="AA32" s="385"/>
      <c r="AB32" s="385"/>
      <c r="AC32" s="386"/>
      <c r="AD32" s="459" t="s">
        <v>579</v>
      </c>
      <c r="AE32" s="460"/>
      <c r="AF32" s="460"/>
      <c r="AG32" s="460"/>
      <c r="AH32" s="460"/>
      <c r="AI32" s="461"/>
      <c r="AK32" s="344" t="s">
        <v>514</v>
      </c>
    </row>
    <row r="33" spans="1:37" s="174" customFormat="1" ht="20.100000000000001" customHeight="1" x14ac:dyDescent="0.25">
      <c r="A33" s="230"/>
      <c r="B33" s="360"/>
      <c r="C33" s="361"/>
      <c r="D33" s="361"/>
      <c r="E33" s="361"/>
      <c r="F33" s="361"/>
      <c r="G33" s="361"/>
      <c r="H33" s="361"/>
      <c r="I33" s="362"/>
      <c r="J33" s="369"/>
      <c r="K33" s="370"/>
      <c r="L33" s="371"/>
      <c r="M33" s="378"/>
      <c r="N33" s="379"/>
      <c r="O33" s="379"/>
      <c r="P33" s="380"/>
      <c r="Q33" s="387"/>
      <c r="R33" s="388"/>
      <c r="S33" s="388"/>
      <c r="T33" s="388"/>
      <c r="U33" s="388"/>
      <c r="V33" s="388"/>
      <c r="W33" s="388"/>
      <c r="X33" s="388"/>
      <c r="Y33" s="388"/>
      <c r="Z33" s="388"/>
      <c r="AA33" s="388"/>
      <c r="AB33" s="388"/>
      <c r="AC33" s="389"/>
      <c r="AD33" s="462"/>
      <c r="AE33" s="463"/>
      <c r="AF33" s="463"/>
      <c r="AG33" s="463"/>
      <c r="AH33" s="463"/>
      <c r="AI33" s="464"/>
      <c r="AK33" s="345"/>
    </row>
    <row r="34" spans="1:37" s="174" customFormat="1" ht="20.100000000000001" customHeight="1" x14ac:dyDescent="0.25">
      <c r="A34" s="230">
        <v>4</v>
      </c>
      <c r="B34" s="360"/>
      <c r="C34" s="361"/>
      <c r="D34" s="361"/>
      <c r="E34" s="361"/>
      <c r="F34" s="361"/>
      <c r="G34" s="361"/>
      <c r="H34" s="361"/>
      <c r="I34" s="362"/>
      <c r="J34" s="369"/>
      <c r="K34" s="370"/>
      <c r="L34" s="371"/>
      <c r="M34" s="378"/>
      <c r="N34" s="379"/>
      <c r="O34" s="379"/>
      <c r="P34" s="380"/>
      <c r="Q34" s="387"/>
      <c r="R34" s="388"/>
      <c r="S34" s="388"/>
      <c r="T34" s="388"/>
      <c r="U34" s="388"/>
      <c r="V34" s="388"/>
      <c r="W34" s="388"/>
      <c r="X34" s="388"/>
      <c r="Y34" s="388"/>
      <c r="Z34" s="388"/>
      <c r="AA34" s="388"/>
      <c r="AB34" s="388"/>
      <c r="AC34" s="389"/>
      <c r="AD34" s="462"/>
      <c r="AE34" s="463"/>
      <c r="AF34" s="463"/>
      <c r="AG34" s="463"/>
      <c r="AH34" s="463"/>
      <c r="AI34" s="464"/>
      <c r="AK34" s="345"/>
    </row>
    <row r="35" spans="1:37" s="174" customFormat="1" ht="20.100000000000001" customHeight="1" x14ac:dyDescent="0.25">
      <c r="A35" s="230"/>
      <c r="B35" s="363"/>
      <c r="C35" s="364"/>
      <c r="D35" s="364"/>
      <c r="E35" s="364"/>
      <c r="F35" s="364"/>
      <c r="G35" s="364"/>
      <c r="H35" s="364"/>
      <c r="I35" s="365"/>
      <c r="J35" s="372"/>
      <c r="K35" s="373"/>
      <c r="L35" s="374"/>
      <c r="M35" s="381"/>
      <c r="N35" s="382"/>
      <c r="O35" s="382"/>
      <c r="P35" s="383"/>
      <c r="Q35" s="390"/>
      <c r="R35" s="391"/>
      <c r="S35" s="391"/>
      <c r="T35" s="391"/>
      <c r="U35" s="391"/>
      <c r="V35" s="391"/>
      <c r="W35" s="391"/>
      <c r="X35" s="391"/>
      <c r="Y35" s="391"/>
      <c r="Z35" s="391"/>
      <c r="AA35" s="391"/>
      <c r="AB35" s="391"/>
      <c r="AC35" s="392"/>
      <c r="AD35" s="465"/>
      <c r="AE35" s="466"/>
      <c r="AF35" s="466"/>
      <c r="AG35" s="466"/>
      <c r="AH35" s="466"/>
      <c r="AI35" s="467"/>
      <c r="AK35" s="346"/>
    </row>
    <row r="36" spans="1:37" s="174" customFormat="1" ht="20.100000000000001" customHeight="1" x14ac:dyDescent="0.25">
      <c r="A36" s="230"/>
      <c r="B36" s="402" t="s">
        <v>77</v>
      </c>
      <c r="C36" s="402"/>
      <c r="D36" s="402"/>
      <c r="E36" s="402"/>
      <c r="F36" s="402"/>
      <c r="G36" s="402"/>
      <c r="H36" s="402"/>
      <c r="I36" s="402"/>
      <c r="J36" s="402" t="s">
        <v>78</v>
      </c>
      <c r="K36" s="402"/>
      <c r="L36" s="402"/>
      <c r="M36" s="402"/>
      <c r="N36" s="402"/>
      <c r="O36" s="402"/>
      <c r="P36" s="402"/>
      <c r="Q36" s="403" t="s">
        <v>79</v>
      </c>
      <c r="R36" s="404"/>
      <c r="S36" s="404"/>
      <c r="T36" s="404"/>
      <c r="U36" s="404"/>
      <c r="V36" s="404"/>
      <c r="W36" s="404"/>
      <c r="X36" s="404"/>
      <c r="Y36" s="404"/>
      <c r="Z36" s="404"/>
      <c r="AA36" s="404"/>
      <c r="AB36" s="404"/>
      <c r="AC36" s="405"/>
      <c r="AD36" s="402" t="s">
        <v>80</v>
      </c>
      <c r="AE36" s="402"/>
      <c r="AF36" s="402"/>
      <c r="AG36" s="402"/>
      <c r="AH36" s="402"/>
      <c r="AI36" s="402"/>
      <c r="AK36" s="347" t="s">
        <v>227</v>
      </c>
    </row>
    <row r="37" spans="1:37" s="174" customFormat="1" ht="20.100000000000001" customHeight="1" x14ac:dyDescent="0.25">
      <c r="A37" s="230"/>
      <c r="B37" s="402"/>
      <c r="C37" s="402"/>
      <c r="D37" s="402"/>
      <c r="E37" s="402"/>
      <c r="F37" s="402"/>
      <c r="G37" s="402"/>
      <c r="H37" s="402"/>
      <c r="I37" s="402"/>
      <c r="J37" s="409" t="s">
        <v>237</v>
      </c>
      <c r="K37" s="409"/>
      <c r="L37" s="409"/>
      <c r="M37" s="409" t="s">
        <v>238</v>
      </c>
      <c r="N37" s="409"/>
      <c r="O37" s="409"/>
      <c r="P37" s="409"/>
      <c r="Q37" s="406"/>
      <c r="R37" s="407"/>
      <c r="S37" s="407"/>
      <c r="T37" s="407"/>
      <c r="U37" s="407"/>
      <c r="V37" s="407"/>
      <c r="W37" s="407"/>
      <c r="X37" s="407"/>
      <c r="Y37" s="407"/>
      <c r="Z37" s="407"/>
      <c r="AA37" s="407"/>
      <c r="AB37" s="407"/>
      <c r="AC37" s="408"/>
      <c r="AD37" s="402"/>
      <c r="AE37" s="402"/>
      <c r="AF37" s="402"/>
      <c r="AG37" s="402"/>
      <c r="AH37" s="402"/>
      <c r="AI37" s="402"/>
      <c r="AK37" s="348"/>
    </row>
    <row r="38" spans="1:37" s="174" customFormat="1" ht="20.100000000000001" customHeight="1" x14ac:dyDescent="0.25">
      <c r="A38" s="230"/>
      <c r="B38" s="357" t="s">
        <v>182</v>
      </c>
      <c r="C38" s="358"/>
      <c r="D38" s="358"/>
      <c r="E38" s="358"/>
      <c r="F38" s="358"/>
      <c r="G38" s="358"/>
      <c r="H38" s="358"/>
      <c r="I38" s="359"/>
      <c r="J38" s="366">
        <v>0.94</v>
      </c>
      <c r="K38" s="367"/>
      <c r="L38" s="368"/>
      <c r="M38" s="375">
        <v>45980</v>
      </c>
      <c r="N38" s="376"/>
      <c r="O38" s="376"/>
      <c r="P38" s="377"/>
      <c r="Q38" s="384" t="s">
        <v>589</v>
      </c>
      <c r="R38" s="385"/>
      <c r="S38" s="385"/>
      <c r="T38" s="385"/>
      <c r="U38" s="385"/>
      <c r="V38" s="385"/>
      <c r="W38" s="385"/>
      <c r="X38" s="385"/>
      <c r="Y38" s="385"/>
      <c r="Z38" s="385"/>
      <c r="AA38" s="385"/>
      <c r="AB38" s="385"/>
      <c r="AC38" s="386"/>
      <c r="AD38" s="393" t="e" vm="3">
        <v>#VALUE!</v>
      </c>
      <c r="AE38" s="394"/>
      <c r="AF38" s="394"/>
      <c r="AG38" s="394"/>
      <c r="AH38" s="394"/>
      <c r="AI38" s="395"/>
      <c r="AK38" s="344" t="s">
        <v>551</v>
      </c>
    </row>
    <row r="39" spans="1:37" s="174" customFormat="1" ht="20.100000000000001" customHeight="1" x14ac:dyDescent="0.25">
      <c r="A39" s="230"/>
      <c r="B39" s="360"/>
      <c r="C39" s="361"/>
      <c r="D39" s="361"/>
      <c r="E39" s="361"/>
      <c r="F39" s="361"/>
      <c r="G39" s="361"/>
      <c r="H39" s="361"/>
      <c r="I39" s="362"/>
      <c r="J39" s="369"/>
      <c r="K39" s="370"/>
      <c r="L39" s="371"/>
      <c r="M39" s="378"/>
      <c r="N39" s="379"/>
      <c r="O39" s="379"/>
      <c r="P39" s="380"/>
      <c r="Q39" s="387"/>
      <c r="R39" s="388"/>
      <c r="S39" s="388"/>
      <c r="T39" s="388"/>
      <c r="U39" s="388"/>
      <c r="V39" s="388"/>
      <c r="W39" s="388"/>
      <c r="X39" s="388"/>
      <c r="Y39" s="388"/>
      <c r="Z39" s="388"/>
      <c r="AA39" s="388"/>
      <c r="AB39" s="388"/>
      <c r="AC39" s="389"/>
      <c r="AD39" s="396"/>
      <c r="AE39" s="397"/>
      <c r="AF39" s="397"/>
      <c r="AG39" s="397"/>
      <c r="AH39" s="397"/>
      <c r="AI39" s="398"/>
      <c r="AK39" s="345"/>
    </row>
    <row r="40" spans="1:37" s="174" customFormat="1" ht="20.100000000000001" customHeight="1" x14ac:dyDescent="0.25">
      <c r="A40" s="230">
        <v>5</v>
      </c>
      <c r="B40" s="360"/>
      <c r="C40" s="361"/>
      <c r="D40" s="361"/>
      <c r="E40" s="361"/>
      <c r="F40" s="361"/>
      <c r="G40" s="361"/>
      <c r="H40" s="361"/>
      <c r="I40" s="362"/>
      <c r="J40" s="369"/>
      <c r="K40" s="370"/>
      <c r="L40" s="371"/>
      <c r="M40" s="378"/>
      <c r="N40" s="379"/>
      <c r="O40" s="379"/>
      <c r="P40" s="380"/>
      <c r="Q40" s="387"/>
      <c r="R40" s="388"/>
      <c r="S40" s="388"/>
      <c r="T40" s="388"/>
      <c r="U40" s="388"/>
      <c r="V40" s="388"/>
      <c r="W40" s="388"/>
      <c r="X40" s="388"/>
      <c r="Y40" s="388"/>
      <c r="Z40" s="388"/>
      <c r="AA40" s="388"/>
      <c r="AB40" s="388"/>
      <c r="AC40" s="389"/>
      <c r="AD40" s="396"/>
      <c r="AE40" s="397"/>
      <c r="AF40" s="397"/>
      <c r="AG40" s="397"/>
      <c r="AH40" s="397"/>
      <c r="AI40" s="398"/>
      <c r="AK40" s="345"/>
    </row>
    <row r="41" spans="1:37" s="174" customFormat="1" ht="20.100000000000001" customHeight="1" x14ac:dyDescent="0.25">
      <c r="A41" s="230"/>
      <c r="B41" s="363"/>
      <c r="C41" s="364"/>
      <c r="D41" s="364"/>
      <c r="E41" s="364"/>
      <c r="F41" s="364"/>
      <c r="G41" s="364"/>
      <c r="H41" s="364"/>
      <c r="I41" s="365"/>
      <c r="J41" s="372"/>
      <c r="K41" s="373"/>
      <c r="L41" s="374"/>
      <c r="M41" s="381"/>
      <c r="N41" s="382"/>
      <c r="O41" s="382"/>
      <c r="P41" s="383"/>
      <c r="Q41" s="390"/>
      <c r="R41" s="391"/>
      <c r="S41" s="391"/>
      <c r="T41" s="391"/>
      <c r="U41" s="391"/>
      <c r="V41" s="391"/>
      <c r="W41" s="391"/>
      <c r="X41" s="391"/>
      <c r="Y41" s="391"/>
      <c r="Z41" s="391"/>
      <c r="AA41" s="391"/>
      <c r="AB41" s="391"/>
      <c r="AC41" s="392"/>
      <c r="AD41" s="399"/>
      <c r="AE41" s="400"/>
      <c r="AF41" s="400"/>
      <c r="AG41" s="400"/>
      <c r="AH41" s="400"/>
      <c r="AI41" s="401"/>
      <c r="AK41" s="346"/>
    </row>
    <row r="42" spans="1:37" s="174" customFormat="1" ht="20.100000000000001" customHeight="1" x14ac:dyDescent="0.25">
      <c r="A42" s="230"/>
      <c r="B42" s="402" t="s">
        <v>77</v>
      </c>
      <c r="C42" s="402"/>
      <c r="D42" s="402"/>
      <c r="E42" s="402"/>
      <c r="F42" s="402"/>
      <c r="G42" s="402"/>
      <c r="H42" s="402"/>
      <c r="I42" s="402"/>
      <c r="J42" s="402" t="s">
        <v>78</v>
      </c>
      <c r="K42" s="402"/>
      <c r="L42" s="402"/>
      <c r="M42" s="402"/>
      <c r="N42" s="402"/>
      <c r="O42" s="402"/>
      <c r="P42" s="402"/>
      <c r="Q42" s="403" t="s">
        <v>79</v>
      </c>
      <c r="R42" s="404"/>
      <c r="S42" s="404"/>
      <c r="T42" s="404"/>
      <c r="U42" s="404"/>
      <c r="V42" s="404"/>
      <c r="W42" s="404"/>
      <c r="X42" s="404"/>
      <c r="Y42" s="404"/>
      <c r="Z42" s="404"/>
      <c r="AA42" s="404"/>
      <c r="AB42" s="404"/>
      <c r="AC42" s="405"/>
      <c r="AD42" s="402" t="s">
        <v>80</v>
      </c>
      <c r="AE42" s="402"/>
      <c r="AF42" s="402"/>
      <c r="AG42" s="402"/>
      <c r="AH42" s="402"/>
      <c r="AI42" s="402"/>
      <c r="AK42" s="347" t="s">
        <v>227</v>
      </c>
    </row>
    <row r="43" spans="1:37" s="174" customFormat="1" ht="20.100000000000001" customHeight="1" x14ac:dyDescent="0.25">
      <c r="A43" s="230"/>
      <c r="B43" s="402"/>
      <c r="C43" s="402"/>
      <c r="D43" s="402"/>
      <c r="E43" s="402"/>
      <c r="F43" s="402"/>
      <c r="G43" s="402"/>
      <c r="H43" s="402"/>
      <c r="I43" s="402"/>
      <c r="J43" s="409" t="s">
        <v>237</v>
      </c>
      <c r="K43" s="409"/>
      <c r="L43" s="409"/>
      <c r="M43" s="409" t="s">
        <v>238</v>
      </c>
      <c r="N43" s="409"/>
      <c r="O43" s="409"/>
      <c r="P43" s="409"/>
      <c r="Q43" s="406"/>
      <c r="R43" s="407"/>
      <c r="S43" s="407"/>
      <c r="T43" s="407"/>
      <c r="U43" s="407"/>
      <c r="V43" s="407"/>
      <c r="W43" s="407"/>
      <c r="X43" s="407"/>
      <c r="Y43" s="407"/>
      <c r="Z43" s="407"/>
      <c r="AA43" s="407"/>
      <c r="AB43" s="407"/>
      <c r="AC43" s="408"/>
      <c r="AD43" s="402"/>
      <c r="AE43" s="402"/>
      <c r="AF43" s="402"/>
      <c r="AG43" s="402"/>
      <c r="AH43" s="402"/>
      <c r="AI43" s="402"/>
      <c r="AK43" s="348"/>
    </row>
    <row r="44" spans="1:37" s="174" customFormat="1" ht="20.100000000000001" customHeight="1" x14ac:dyDescent="0.25">
      <c r="A44" s="230"/>
      <c r="B44" s="357" t="s">
        <v>177</v>
      </c>
      <c r="C44" s="358"/>
      <c r="D44" s="358"/>
      <c r="E44" s="358"/>
      <c r="F44" s="358"/>
      <c r="G44" s="358"/>
      <c r="H44" s="358"/>
      <c r="I44" s="359"/>
      <c r="J44" s="366">
        <v>0.94</v>
      </c>
      <c r="K44" s="367"/>
      <c r="L44" s="368"/>
      <c r="M44" s="375">
        <v>45982</v>
      </c>
      <c r="N44" s="376"/>
      <c r="O44" s="376"/>
      <c r="P44" s="377"/>
      <c r="Q44" s="384" t="s">
        <v>628</v>
      </c>
      <c r="R44" s="385"/>
      <c r="S44" s="385"/>
      <c r="T44" s="385"/>
      <c r="U44" s="385"/>
      <c r="V44" s="385"/>
      <c r="W44" s="385"/>
      <c r="X44" s="385"/>
      <c r="Y44" s="385"/>
      <c r="Z44" s="385"/>
      <c r="AA44" s="385"/>
      <c r="AB44" s="385"/>
      <c r="AC44" s="386"/>
      <c r="AD44" s="459" t="s">
        <v>579</v>
      </c>
      <c r="AE44" s="460"/>
      <c r="AF44" s="460"/>
      <c r="AG44" s="460"/>
      <c r="AH44" s="460"/>
      <c r="AI44" s="461"/>
      <c r="AK44" s="344" t="s">
        <v>595</v>
      </c>
    </row>
    <row r="45" spans="1:37" s="174" customFormat="1" ht="20.100000000000001" customHeight="1" x14ac:dyDescent="0.25">
      <c r="A45" s="230">
        <v>6</v>
      </c>
      <c r="B45" s="360"/>
      <c r="C45" s="361"/>
      <c r="D45" s="361"/>
      <c r="E45" s="361"/>
      <c r="F45" s="361"/>
      <c r="G45" s="361"/>
      <c r="H45" s="361"/>
      <c r="I45" s="362"/>
      <c r="J45" s="369"/>
      <c r="K45" s="370"/>
      <c r="L45" s="371"/>
      <c r="M45" s="378"/>
      <c r="N45" s="379"/>
      <c r="O45" s="379"/>
      <c r="P45" s="380"/>
      <c r="Q45" s="387"/>
      <c r="R45" s="388"/>
      <c r="S45" s="388"/>
      <c r="T45" s="388"/>
      <c r="U45" s="388"/>
      <c r="V45" s="388"/>
      <c r="W45" s="388"/>
      <c r="X45" s="388"/>
      <c r="Y45" s="388"/>
      <c r="Z45" s="388"/>
      <c r="AA45" s="388"/>
      <c r="AB45" s="388"/>
      <c r="AC45" s="389"/>
      <c r="AD45" s="462"/>
      <c r="AE45" s="463"/>
      <c r="AF45" s="463"/>
      <c r="AG45" s="463"/>
      <c r="AH45" s="463"/>
      <c r="AI45" s="464"/>
      <c r="AK45" s="345"/>
    </row>
    <row r="46" spans="1:37" s="174" customFormat="1" ht="20.100000000000001" customHeight="1" x14ac:dyDescent="0.25">
      <c r="A46" s="230"/>
      <c r="B46" s="360"/>
      <c r="C46" s="361"/>
      <c r="D46" s="361"/>
      <c r="E46" s="361"/>
      <c r="F46" s="361"/>
      <c r="G46" s="361"/>
      <c r="H46" s="361"/>
      <c r="I46" s="362"/>
      <c r="J46" s="369"/>
      <c r="K46" s="370"/>
      <c r="L46" s="371"/>
      <c r="M46" s="378"/>
      <c r="N46" s="379"/>
      <c r="O46" s="379"/>
      <c r="P46" s="380"/>
      <c r="Q46" s="387"/>
      <c r="R46" s="388"/>
      <c r="S46" s="388"/>
      <c r="T46" s="388"/>
      <c r="U46" s="388"/>
      <c r="V46" s="388"/>
      <c r="W46" s="388"/>
      <c r="X46" s="388"/>
      <c r="Y46" s="388"/>
      <c r="Z46" s="388"/>
      <c r="AA46" s="388"/>
      <c r="AB46" s="388"/>
      <c r="AC46" s="389"/>
      <c r="AD46" s="462"/>
      <c r="AE46" s="463"/>
      <c r="AF46" s="463"/>
      <c r="AG46" s="463"/>
      <c r="AH46" s="463"/>
      <c r="AI46" s="464"/>
      <c r="AK46" s="345"/>
    </row>
    <row r="47" spans="1:37" s="174" customFormat="1" ht="20.100000000000001" customHeight="1" x14ac:dyDescent="0.25">
      <c r="A47" s="230"/>
      <c r="B47" s="363"/>
      <c r="C47" s="364"/>
      <c r="D47" s="364"/>
      <c r="E47" s="364"/>
      <c r="F47" s="364"/>
      <c r="G47" s="364"/>
      <c r="H47" s="364"/>
      <c r="I47" s="365"/>
      <c r="J47" s="372"/>
      <c r="K47" s="373"/>
      <c r="L47" s="374"/>
      <c r="M47" s="381"/>
      <c r="N47" s="382"/>
      <c r="O47" s="382"/>
      <c r="P47" s="383"/>
      <c r="Q47" s="390"/>
      <c r="R47" s="391"/>
      <c r="S47" s="391"/>
      <c r="T47" s="391"/>
      <c r="U47" s="391"/>
      <c r="V47" s="391"/>
      <c r="W47" s="391"/>
      <c r="X47" s="391"/>
      <c r="Y47" s="391"/>
      <c r="Z47" s="391"/>
      <c r="AA47" s="391"/>
      <c r="AB47" s="391"/>
      <c r="AC47" s="392"/>
      <c r="AD47" s="465"/>
      <c r="AE47" s="466"/>
      <c r="AF47" s="466"/>
      <c r="AG47" s="466"/>
      <c r="AH47" s="466"/>
      <c r="AI47" s="467"/>
      <c r="AK47" s="346"/>
    </row>
    <row r="48" spans="1:37" s="174" customFormat="1" ht="20.100000000000001" customHeight="1" x14ac:dyDescent="0.25">
      <c r="A48" s="230"/>
      <c r="B48" s="402" t="s">
        <v>77</v>
      </c>
      <c r="C48" s="402"/>
      <c r="D48" s="402"/>
      <c r="E48" s="402"/>
      <c r="F48" s="402"/>
      <c r="G48" s="402"/>
      <c r="H48" s="402"/>
      <c r="I48" s="402"/>
      <c r="J48" s="402" t="s">
        <v>78</v>
      </c>
      <c r="K48" s="402"/>
      <c r="L48" s="402"/>
      <c r="M48" s="402"/>
      <c r="N48" s="402"/>
      <c r="O48" s="402"/>
      <c r="P48" s="402"/>
      <c r="Q48" s="403" t="s">
        <v>79</v>
      </c>
      <c r="R48" s="404"/>
      <c r="S48" s="404"/>
      <c r="T48" s="404"/>
      <c r="U48" s="404"/>
      <c r="V48" s="404"/>
      <c r="W48" s="404"/>
      <c r="X48" s="404"/>
      <c r="Y48" s="404"/>
      <c r="Z48" s="404"/>
      <c r="AA48" s="404"/>
      <c r="AB48" s="404"/>
      <c r="AC48" s="405"/>
      <c r="AD48" s="402" t="s">
        <v>80</v>
      </c>
      <c r="AE48" s="402"/>
      <c r="AF48" s="402"/>
      <c r="AG48" s="402"/>
      <c r="AH48" s="402"/>
      <c r="AI48" s="402"/>
      <c r="AK48" s="347" t="s">
        <v>227</v>
      </c>
    </row>
    <row r="49" spans="1:37" s="174" customFormat="1" ht="20.100000000000001" customHeight="1" x14ac:dyDescent="0.25">
      <c r="A49" s="230"/>
      <c r="B49" s="402"/>
      <c r="C49" s="402"/>
      <c r="D49" s="402"/>
      <c r="E49" s="402"/>
      <c r="F49" s="402"/>
      <c r="G49" s="402"/>
      <c r="H49" s="402"/>
      <c r="I49" s="402"/>
      <c r="J49" s="409" t="s">
        <v>237</v>
      </c>
      <c r="K49" s="409"/>
      <c r="L49" s="409"/>
      <c r="M49" s="409" t="s">
        <v>238</v>
      </c>
      <c r="N49" s="409"/>
      <c r="O49" s="409"/>
      <c r="P49" s="409"/>
      <c r="Q49" s="406"/>
      <c r="R49" s="407"/>
      <c r="S49" s="407"/>
      <c r="T49" s="407"/>
      <c r="U49" s="407"/>
      <c r="V49" s="407"/>
      <c r="W49" s="407"/>
      <c r="X49" s="407"/>
      <c r="Y49" s="407"/>
      <c r="Z49" s="407"/>
      <c r="AA49" s="407"/>
      <c r="AB49" s="407"/>
      <c r="AC49" s="408"/>
      <c r="AD49" s="402"/>
      <c r="AE49" s="402"/>
      <c r="AF49" s="402"/>
      <c r="AG49" s="402"/>
      <c r="AH49" s="402"/>
      <c r="AI49" s="402"/>
      <c r="AK49" s="348"/>
    </row>
    <row r="50" spans="1:37" s="174" customFormat="1" ht="20.100000000000001" customHeight="1" x14ac:dyDescent="0.25">
      <c r="A50" s="230"/>
      <c r="B50" s="357" t="s">
        <v>176</v>
      </c>
      <c r="C50" s="358"/>
      <c r="D50" s="358"/>
      <c r="E50" s="358"/>
      <c r="F50" s="358"/>
      <c r="G50" s="358"/>
      <c r="H50" s="358"/>
      <c r="I50" s="359"/>
      <c r="J50" s="366">
        <v>0.94</v>
      </c>
      <c r="K50" s="367"/>
      <c r="L50" s="368"/>
      <c r="M50" s="375">
        <v>45986</v>
      </c>
      <c r="N50" s="376"/>
      <c r="O50" s="376"/>
      <c r="P50" s="377"/>
      <c r="Q50" s="384"/>
      <c r="R50" s="385"/>
      <c r="S50" s="385"/>
      <c r="T50" s="385"/>
      <c r="U50" s="385"/>
      <c r="V50" s="385"/>
      <c r="W50" s="385"/>
      <c r="X50" s="385"/>
      <c r="Y50" s="385"/>
      <c r="Z50" s="385"/>
      <c r="AA50" s="385"/>
      <c r="AB50" s="385"/>
      <c r="AC50" s="386"/>
      <c r="AD50" s="468"/>
      <c r="AE50" s="469"/>
      <c r="AF50" s="469"/>
      <c r="AG50" s="469"/>
      <c r="AH50" s="469"/>
      <c r="AI50" s="470"/>
      <c r="AK50" s="344" t="s">
        <v>641</v>
      </c>
    </row>
    <row r="51" spans="1:37" s="174" customFormat="1" ht="20.100000000000001" customHeight="1" x14ac:dyDescent="0.25">
      <c r="A51" s="230">
        <v>7</v>
      </c>
      <c r="B51" s="360"/>
      <c r="C51" s="361"/>
      <c r="D51" s="361"/>
      <c r="E51" s="361"/>
      <c r="F51" s="361"/>
      <c r="G51" s="361"/>
      <c r="H51" s="361"/>
      <c r="I51" s="362"/>
      <c r="J51" s="369"/>
      <c r="K51" s="370"/>
      <c r="L51" s="371"/>
      <c r="M51" s="378"/>
      <c r="N51" s="379"/>
      <c r="O51" s="379"/>
      <c r="P51" s="380"/>
      <c r="Q51" s="387"/>
      <c r="R51" s="388"/>
      <c r="S51" s="388"/>
      <c r="T51" s="388"/>
      <c r="U51" s="388"/>
      <c r="V51" s="388"/>
      <c r="W51" s="388"/>
      <c r="X51" s="388"/>
      <c r="Y51" s="388"/>
      <c r="Z51" s="388"/>
      <c r="AA51" s="388"/>
      <c r="AB51" s="388"/>
      <c r="AC51" s="389"/>
      <c r="AD51" s="471"/>
      <c r="AE51" s="472"/>
      <c r="AF51" s="472"/>
      <c r="AG51" s="472"/>
      <c r="AH51" s="472"/>
      <c r="AI51" s="473"/>
      <c r="AK51" s="345"/>
    </row>
    <row r="52" spans="1:37" s="174" customFormat="1" ht="20.100000000000001" customHeight="1" x14ac:dyDescent="0.25">
      <c r="A52" s="230"/>
      <c r="B52" s="360"/>
      <c r="C52" s="361"/>
      <c r="D52" s="361"/>
      <c r="E52" s="361"/>
      <c r="F52" s="361"/>
      <c r="G52" s="361"/>
      <c r="H52" s="361"/>
      <c r="I52" s="362"/>
      <c r="J52" s="369"/>
      <c r="K52" s="370"/>
      <c r="L52" s="371"/>
      <c r="M52" s="378"/>
      <c r="N52" s="379"/>
      <c r="O52" s="379"/>
      <c r="P52" s="380"/>
      <c r="Q52" s="387"/>
      <c r="R52" s="388"/>
      <c r="S52" s="388"/>
      <c r="T52" s="388"/>
      <c r="U52" s="388"/>
      <c r="V52" s="388"/>
      <c r="W52" s="388"/>
      <c r="X52" s="388"/>
      <c r="Y52" s="388"/>
      <c r="Z52" s="388"/>
      <c r="AA52" s="388"/>
      <c r="AB52" s="388"/>
      <c r="AC52" s="389"/>
      <c r="AD52" s="471"/>
      <c r="AE52" s="472"/>
      <c r="AF52" s="472"/>
      <c r="AG52" s="472"/>
      <c r="AH52" s="472"/>
      <c r="AI52" s="473"/>
      <c r="AK52" s="345"/>
    </row>
    <row r="53" spans="1:37" s="174" customFormat="1" ht="20.100000000000001" customHeight="1" x14ac:dyDescent="0.25">
      <c r="A53" s="230"/>
      <c r="B53" s="363"/>
      <c r="C53" s="364"/>
      <c r="D53" s="364"/>
      <c r="E53" s="364"/>
      <c r="F53" s="364"/>
      <c r="G53" s="364"/>
      <c r="H53" s="364"/>
      <c r="I53" s="365"/>
      <c r="J53" s="372"/>
      <c r="K53" s="373"/>
      <c r="L53" s="374"/>
      <c r="M53" s="381"/>
      <c r="N53" s="382"/>
      <c r="O53" s="382"/>
      <c r="P53" s="383"/>
      <c r="Q53" s="390"/>
      <c r="R53" s="391"/>
      <c r="S53" s="391"/>
      <c r="T53" s="391"/>
      <c r="U53" s="391"/>
      <c r="V53" s="391"/>
      <c r="W53" s="391"/>
      <c r="X53" s="391"/>
      <c r="Y53" s="391"/>
      <c r="Z53" s="391"/>
      <c r="AA53" s="391"/>
      <c r="AB53" s="391"/>
      <c r="AC53" s="392"/>
      <c r="AD53" s="474"/>
      <c r="AE53" s="475"/>
      <c r="AF53" s="475"/>
      <c r="AG53" s="475"/>
      <c r="AH53" s="475"/>
      <c r="AI53" s="476"/>
      <c r="AK53" s="346"/>
    </row>
    <row r="54" spans="1:37" s="174" customFormat="1" ht="20.100000000000001" customHeight="1" x14ac:dyDescent="0.25">
      <c r="A54" s="230"/>
      <c r="B54" s="402" t="s">
        <v>77</v>
      </c>
      <c r="C54" s="402"/>
      <c r="D54" s="402"/>
      <c r="E54" s="402"/>
      <c r="F54" s="402"/>
      <c r="G54" s="402"/>
      <c r="H54" s="402"/>
      <c r="I54" s="402"/>
      <c r="J54" s="402" t="s">
        <v>78</v>
      </c>
      <c r="K54" s="402"/>
      <c r="L54" s="402"/>
      <c r="M54" s="402"/>
      <c r="N54" s="402"/>
      <c r="O54" s="402"/>
      <c r="P54" s="402"/>
      <c r="Q54" s="403" t="s">
        <v>79</v>
      </c>
      <c r="R54" s="404"/>
      <c r="S54" s="404"/>
      <c r="T54" s="404"/>
      <c r="U54" s="404"/>
      <c r="V54" s="404"/>
      <c r="W54" s="404"/>
      <c r="X54" s="404"/>
      <c r="Y54" s="404"/>
      <c r="Z54" s="404"/>
      <c r="AA54" s="404"/>
      <c r="AB54" s="404"/>
      <c r="AC54" s="405"/>
      <c r="AD54" s="402" t="s">
        <v>80</v>
      </c>
      <c r="AE54" s="402"/>
      <c r="AF54" s="402"/>
      <c r="AG54" s="402"/>
      <c r="AH54" s="402"/>
      <c r="AI54" s="402"/>
      <c r="AK54" s="347" t="s">
        <v>227</v>
      </c>
    </row>
    <row r="55" spans="1:37" s="174" customFormat="1" ht="20.100000000000001" customHeight="1" x14ac:dyDescent="0.25">
      <c r="A55" s="230"/>
      <c r="B55" s="402"/>
      <c r="C55" s="402"/>
      <c r="D55" s="402"/>
      <c r="E55" s="402"/>
      <c r="F55" s="402"/>
      <c r="G55" s="402"/>
      <c r="H55" s="402"/>
      <c r="I55" s="402"/>
      <c r="J55" s="409" t="s">
        <v>237</v>
      </c>
      <c r="K55" s="409"/>
      <c r="L55" s="409"/>
      <c r="M55" s="409" t="s">
        <v>238</v>
      </c>
      <c r="N55" s="409"/>
      <c r="O55" s="409"/>
      <c r="P55" s="409"/>
      <c r="Q55" s="406"/>
      <c r="R55" s="407"/>
      <c r="S55" s="407"/>
      <c r="T55" s="407"/>
      <c r="U55" s="407"/>
      <c r="V55" s="407"/>
      <c r="W55" s="407"/>
      <c r="X55" s="407"/>
      <c r="Y55" s="407"/>
      <c r="Z55" s="407"/>
      <c r="AA55" s="407"/>
      <c r="AB55" s="407"/>
      <c r="AC55" s="408"/>
      <c r="AD55" s="402"/>
      <c r="AE55" s="402"/>
      <c r="AF55" s="402"/>
      <c r="AG55" s="402"/>
      <c r="AH55" s="402"/>
      <c r="AI55" s="402"/>
      <c r="AK55" s="348"/>
    </row>
    <row r="56" spans="1:37" s="174" customFormat="1" ht="20.100000000000001" customHeight="1" x14ac:dyDescent="0.25">
      <c r="A56" s="230"/>
      <c r="B56" s="357" t="s">
        <v>181</v>
      </c>
      <c r="C56" s="358"/>
      <c r="D56" s="358"/>
      <c r="E56" s="358"/>
      <c r="F56" s="358"/>
      <c r="G56" s="358"/>
      <c r="H56" s="358"/>
      <c r="I56" s="359"/>
      <c r="J56" s="366">
        <v>0.94</v>
      </c>
      <c r="K56" s="367"/>
      <c r="L56" s="368"/>
      <c r="M56" s="375">
        <v>45987</v>
      </c>
      <c r="N56" s="376"/>
      <c r="O56" s="376"/>
      <c r="P56" s="377"/>
      <c r="Q56" s="384"/>
      <c r="R56" s="385"/>
      <c r="S56" s="385"/>
      <c r="T56" s="385"/>
      <c r="U56" s="385"/>
      <c r="V56" s="385"/>
      <c r="W56" s="385"/>
      <c r="X56" s="385"/>
      <c r="Y56" s="385"/>
      <c r="Z56" s="385"/>
      <c r="AA56" s="385"/>
      <c r="AB56" s="385"/>
      <c r="AC56" s="386"/>
      <c r="AD56" s="393" t="e" vm="2">
        <v>#VALUE!</v>
      </c>
      <c r="AE56" s="394"/>
      <c r="AF56" s="394"/>
      <c r="AG56" s="394"/>
      <c r="AH56" s="394"/>
      <c r="AI56" s="395"/>
      <c r="AK56" s="344" t="s">
        <v>682</v>
      </c>
    </row>
    <row r="57" spans="1:37" s="174" customFormat="1" ht="20.100000000000001" customHeight="1" x14ac:dyDescent="0.25">
      <c r="A57" s="230">
        <v>8</v>
      </c>
      <c r="B57" s="360"/>
      <c r="C57" s="361"/>
      <c r="D57" s="361"/>
      <c r="E57" s="361"/>
      <c r="F57" s="361"/>
      <c r="G57" s="361"/>
      <c r="H57" s="361"/>
      <c r="I57" s="362"/>
      <c r="J57" s="369"/>
      <c r="K57" s="370"/>
      <c r="L57" s="371"/>
      <c r="M57" s="378"/>
      <c r="N57" s="379"/>
      <c r="O57" s="379"/>
      <c r="P57" s="380"/>
      <c r="Q57" s="387"/>
      <c r="R57" s="388"/>
      <c r="S57" s="388"/>
      <c r="T57" s="388"/>
      <c r="U57" s="388"/>
      <c r="V57" s="388"/>
      <c r="W57" s="388"/>
      <c r="X57" s="388"/>
      <c r="Y57" s="388"/>
      <c r="Z57" s="388"/>
      <c r="AA57" s="388"/>
      <c r="AB57" s="388"/>
      <c r="AC57" s="389"/>
      <c r="AD57" s="396"/>
      <c r="AE57" s="397"/>
      <c r="AF57" s="397"/>
      <c r="AG57" s="397"/>
      <c r="AH57" s="397"/>
      <c r="AI57" s="398"/>
      <c r="AK57" s="345"/>
    </row>
    <row r="58" spans="1:37" s="174" customFormat="1" ht="20.100000000000001" customHeight="1" x14ac:dyDescent="0.25">
      <c r="A58" s="230"/>
      <c r="B58" s="360"/>
      <c r="C58" s="361"/>
      <c r="D58" s="361"/>
      <c r="E58" s="361"/>
      <c r="F58" s="361"/>
      <c r="G58" s="361"/>
      <c r="H58" s="361"/>
      <c r="I58" s="362"/>
      <c r="J58" s="369"/>
      <c r="K58" s="370"/>
      <c r="L58" s="371"/>
      <c r="M58" s="378"/>
      <c r="N58" s="379"/>
      <c r="O58" s="379"/>
      <c r="P58" s="380"/>
      <c r="Q58" s="387"/>
      <c r="R58" s="388"/>
      <c r="S58" s="388"/>
      <c r="T58" s="388"/>
      <c r="U58" s="388"/>
      <c r="V58" s="388"/>
      <c r="W58" s="388"/>
      <c r="X58" s="388"/>
      <c r="Y58" s="388"/>
      <c r="Z58" s="388"/>
      <c r="AA58" s="388"/>
      <c r="AB58" s="388"/>
      <c r="AC58" s="389"/>
      <c r="AD58" s="396"/>
      <c r="AE58" s="397"/>
      <c r="AF58" s="397"/>
      <c r="AG58" s="397"/>
      <c r="AH58" s="397"/>
      <c r="AI58" s="398"/>
      <c r="AK58" s="345"/>
    </row>
    <row r="59" spans="1:37" s="174" customFormat="1" ht="20.100000000000001" customHeight="1" x14ac:dyDescent="0.25">
      <c r="A59" s="230"/>
      <c r="B59" s="363"/>
      <c r="C59" s="364"/>
      <c r="D59" s="364"/>
      <c r="E59" s="364"/>
      <c r="F59" s="364"/>
      <c r="G59" s="364"/>
      <c r="H59" s="364"/>
      <c r="I59" s="365"/>
      <c r="J59" s="372"/>
      <c r="K59" s="373"/>
      <c r="L59" s="374"/>
      <c r="M59" s="381"/>
      <c r="N59" s="382"/>
      <c r="O59" s="382"/>
      <c r="P59" s="383"/>
      <c r="Q59" s="390"/>
      <c r="R59" s="391"/>
      <c r="S59" s="391"/>
      <c r="T59" s="391"/>
      <c r="U59" s="391"/>
      <c r="V59" s="391"/>
      <c r="W59" s="391"/>
      <c r="X59" s="391"/>
      <c r="Y59" s="391"/>
      <c r="Z59" s="391"/>
      <c r="AA59" s="391"/>
      <c r="AB59" s="391"/>
      <c r="AC59" s="392"/>
      <c r="AD59" s="399"/>
      <c r="AE59" s="400"/>
      <c r="AF59" s="400"/>
      <c r="AG59" s="400"/>
      <c r="AH59" s="400"/>
      <c r="AI59" s="401"/>
      <c r="AK59" s="346"/>
    </row>
    <row r="60" spans="1:37" s="174" customFormat="1" ht="20.100000000000001" customHeight="1" x14ac:dyDescent="0.25">
      <c r="A60" s="230"/>
      <c r="B60" s="402" t="s">
        <v>77</v>
      </c>
      <c r="C60" s="402"/>
      <c r="D60" s="402"/>
      <c r="E60" s="402"/>
      <c r="F60" s="402"/>
      <c r="G60" s="402"/>
      <c r="H60" s="402"/>
      <c r="I60" s="402"/>
      <c r="J60" s="402" t="s">
        <v>78</v>
      </c>
      <c r="K60" s="402"/>
      <c r="L60" s="402"/>
      <c r="M60" s="402"/>
      <c r="N60" s="402"/>
      <c r="O60" s="402"/>
      <c r="P60" s="402"/>
      <c r="Q60" s="403" t="s">
        <v>79</v>
      </c>
      <c r="R60" s="404"/>
      <c r="S60" s="404"/>
      <c r="T60" s="404"/>
      <c r="U60" s="404"/>
      <c r="V60" s="404"/>
      <c r="W60" s="404"/>
      <c r="X60" s="404"/>
      <c r="Y60" s="404"/>
      <c r="Z60" s="404"/>
      <c r="AA60" s="404"/>
      <c r="AB60" s="404"/>
      <c r="AC60" s="405"/>
      <c r="AD60" s="402" t="s">
        <v>80</v>
      </c>
      <c r="AE60" s="402"/>
      <c r="AF60" s="402"/>
      <c r="AG60" s="402"/>
      <c r="AH60" s="402"/>
      <c r="AI60" s="402"/>
      <c r="AK60" s="347" t="s">
        <v>227</v>
      </c>
    </row>
    <row r="61" spans="1:37" s="174" customFormat="1" ht="20.100000000000001" customHeight="1" x14ac:dyDescent="0.25">
      <c r="A61" s="230"/>
      <c r="B61" s="402"/>
      <c r="C61" s="402"/>
      <c r="D61" s="402"/>
      <c r="E61" s="402"/>
      <c r="F61" s="402"/>
      <c r="G61" s="402"/>
      <c r="H61" s="402"/>
      <c r="I61" s="402"/>
      <c r="J61" s="409" t="s">
        <v>237</v>
      </c>
      <c r="K61" s="409"/>
      <c r="L61" s="409"/>
      <c r="M61" s="409" t="s">
        <v>238</v>
      </c>
      <c r="N61" s="409"/>
      <c r="O61" s="409"/>
      <c r="P61" s="409"/>
      <c r="Q61" s="406"/>
      <c r="R61" s="407"/>
      <c r="S61" s="407"/>
      <c r="T61" s="407"/>
      <c r="U61" s="407"/>
      <c r="V61" s="407"/>
      <c r="W61" s="407"/>
      <c r="X61" s="407"/>
      <c r="Y61" s="407"/>
      <c r="Z61" s="407"/>
      <c r="AA61" s="407"/>
      <c r="AB61" s="407"/>
      <c r="AC61" s="408"/>
      <c r="AD61" s="402"/>
      <c r="AE61" s="402"/>
      <c r="AF61" s="402"/>
      <c r="AG61" s="402"/>
      <c r="AH61" s="402"/>
      <c r="AI61" s="402"/>
      <c r="AK61" s="348"/>
    </row>
    <row r="62" spans="1:37" s="174" customFormat="1" ht="20.100000000000001" customHeight="1" x14ac:dyDescent="0.25">
      <c r="A62" s="230"/>
      <c r="B62" s="357" t="s">
        <v>228</v>
      </c>
      <c r="C62" s="358"/>
      <c r="D62" s="358"/>
      <c r="E62" s="358"/>
      <c r="F62" s="358"/>
      <c r="G62" s="358"/>
      <c r="H62" s="358"/>
      <c r="I62" s="359"/>
      <c r="J62" s="366">
        <v>0.94</v>
      </c>
      <c r="K62" s="367"/>
      <c r="L62" s="368"/>
      <c r="M62" s="375">
        <v>45988</v>
      </c>
      <c r="N62" s="376"/>
      <c r="O62" s="376"/>
      <c r="P62" s="377"/>
      <c r="Q62" s="384"/>
      <c r="R62" s="385"/>
      <c r="S62" s="385"/>
      <c r="T62" s="385"/>
      <c r="U62" s="385"/>
      <c r="V62" s="385"/>
      <c r="W62" s="385"/>
      <c r="X62" s="385"/>
      <c r="Y62" s="385"/>
      <c r="Z62" s="385"/>
      <c r="AA62" s="385"/>
      <c r="AB62" s="385"/>
      <c r="AC62" s="386"/>
      <c r="AD62" s="393"/>
      <c r="AE62" s="394"/>
      <c r="AF62" s="394"/>
      <c r="AG62" s="394"/>
      <c r="AH62" s="394"/>
      <c r="AI62" s="395"/>
      <c r="AK62" s="344" t="s">
        <v>690</v>
      </c>
    </row>
    <row r="63" spans="1:37" s="174" customFormat="1" ht="20.100000000000001" customHeight="1" x14ac:dyDescent="0.25">
      <c r="A63" s="230"/>
      <c r="B63" s="360"/>
      <c r="C63" s="361"/>
      <c r="D63" s="361"/>
      <c r="E63" s="361"/>
      <c r="F63" s="361"/>
      <c r="G63" s="361"/>
      <c r="H63" s="361"/>
      <c r="I63" s="362"/>
      <c r="J63" s="369"/>
      <c r="K63" s="370"/>
      <c r="L63" s="371"/>
      <c r="M63" s="378"/>
      <c r="N63" s="379"/>
      <c r="O63" s="379"/>
      <c r="P63" s="380"/>
      <c r="Q63" s="387"/>
      <c r="R63" s="388"/>
      <c r="S63" s="388"/>
      <c r="T63" s="388"/>
      <c r="U63" s="388"/>
      <c r="V63" s="388"/>
      <c r="W63" s="388"/>
      <c r="X63" s="388"/>
      <c r="Y63" s="388"/>
      <c r="Z63" s="388"/>
      <c r="AA63" s="388"/>
      <c r="AB63" s="388"/>
      <c r="AC63" s="389"/>
      <c r="AD63" s="396"/>
      <c r="AE63" s="397"/>
      <c r="AF63" s="397"/>
      <c r="AG63" s="397"/>
      <c r="AH63" s="397"/>
      <c r="AI63" s="398"/>
      <c r="AK63" s="345"/>
    </row>
    <row r="64" spans="1:37" s="174" customFormat="1" ht="20.100000000000001" customHeight="1" x14ac:dyDescent="0.25">
      <c r="A64" s="230"/>
      <c r="B64" s="360"/>
      <c r="C64" s="361"/>
      <c r="D64" s="361"/>
      <c r="E64" s="361"/>
      <c r="F64" s="361"/>
      <c r="G64" s="361"/>
      <c r="H64" s="361"/>
      <c r="I64" s="362"/>
      <c r="J64" s="369"/>
      <c r="K64" s="370"/>
      <c r="L64" s="371"/>
      <c r="M64" s="378"/>
      <c r="N64" s="379"/>
      <c r="O64" s="379"/>
      <c r="P64" s="380"/>
      <c r="Q64" s="387"/>
      <c r="R64" s="388"/>
      <c r="S64" s="388"/>
      <c r="T64" s="388"/>
      <c r="U64" s="388"/>
      <c r="V64" s="388"/>
      <c r="W64" s="388"/>
      <c r="X64" s="388"/>
      <c r="Y64" s="388"/>
      <c r="Z64" s="388"/>
      <c r="AA64" s="388"/>
      <c r="AB64" s="388"/>
      <c r="AC64" s="389"/>
      <c r="AD64" s="396"/>
      <c r="AE64" s="397"/>
      <c r="AF64" s="397"/>
      <c r="AG64" s="397"/>
      <c r="AH64" s="397"/>
      <c r="AI64" s="398"/>
      <c r="AK64" s="345"/>
    </row>
    <row r="65" spans="1:37" s="174" customFormat="1" ht="20.100000000000001" customHeight="1" x14ac:dyDescent="0.25">
      <c r="A65" s="230"/>
      <c r="B65" s="363"/>
      <c r="C65" s="364"/>
      <c r="D65" s="364"/>
      <c r="E65" s="364"/>
      <c r="F65" s="364"/>
      <c r="G65" s="364"/>
      <c r="H65" s="364"/>
      <c r="I65" s="365"/>
      <c r="J65" s="372"/>
      <c r="K65" s="373"/>
      <c r="L65" s="374"/>
      <c r="M65" s="381"/>
      <c r="N65" s="382"/>
      <c r="O65" s="382"/>
      <c r="P65" s="383"/>
      <c r="Q65" s="390"/>
      <c r="R65" s="391"/>
      <c r="S65" s="391"/>
      <c r="T65" s="391"/>
      <c r="U65" s="391"/>
      <c r="V65" s="391"/>
      <c r="W65" s="391"/>
      <c r="X65" s="391"/>
      <c r="Y65" s="391"/>
      <c r="Z65" s="391"/>
      <c r="AA65" s="391"/>
      <c r="AB65" s="391"/>
      <c r="AC65" s="392"/>
      <c r="AD65" s="399"/>
      <c r="AE65" s="400"/>
      <c r="AF65" s="400"/>
      <c r="AG65" s="400"/>
      <c r="AH65" s="400"/>
      <c r="AI65" s="401"/>
      <c r="AK65" s="346"/>
    </row>
    <row r="66" spans="1:37" s="174" customFormat="1" ht="20.100000000000001" customHeight="1" x14ac:dyDescent="0.25">
      <c r="A66" s="230"/>
      <c r="B66" s="402" t="s">
        <v>77</v>
      </c>
      <c r="C66" s="402"/>
      <c r="D66" s="402"/>
      <c r="E66" s="402"/>
      <c r="F66" s="402"/>
      <c r="G66" s="402"/>
      <c r="H66" s="402"/>
      <c r="I66" s="402"/>
      <c r="J66" s="402" t="s">
        <v>78</v>
      </c>
      <c r="K66" s="402"/>
      <c r="L66" s="402"/>
      <c r="M66" s="402"/>
      <c r="N66" s="402"/>
      <c r="O66" s="402"/>
      <c r="P66" s="402"/>
      <c r="Q66" s="403" t="s">
        <v>79</v>
      </c>
      <c r="R66" s="404"/>
      <c r="S66" s="404"/>
      <c r="T66" s="404"/>
      <c r="U66" s="404"/>
      <c r="V66" s="404"/>
      <c r="W66" s="404"/>
      <c r="X66" s="404"/>
      <c r="Y66" s="404"/>
      <c r="Z66" s="404"/>
      <c r="AA66" s="404"/>
      <c r="AB66" s="404"/>
      <c r="AC66" s="405"/>
      <c r="AD66" s="402" t="s">
        <v>80</v>
      </c>
      <c r="AE66" s="402"/>
      <c r="AF66" s="402"/>
      <c r="AG66" s="402"/>
      <c r="AH66" s="402"/>
      <c r="AI66" s="402"/>
      <c r="AK66" s="347" t="s">
        <v>227</v>
      </c>
    </row>
    <row r="67" spans="1:37" s="174" customFormat="1" ht="20.100000000000001" customHeight="1" x14ac:dyDescent="0.25">
      <c r="A67" s="230"/>
      <c r="B67" s="402"/>
      <c r="C67" s="402"/>
      <c r="D67" s="402"/>
      <c r="E67" s="402"/>
      <c r="F67" s="402"/>
      <c r="G67" s="402"/>
      <c r="H67" s="402"/>
      <c r="I67" s="402"/>
      <c r="J67" s="409" t="s">
        <v>237</v>
      </c>
      <c r="K67" s="409"/>
      <c r="L67" s="409"/>
      <c r="M67" s="409" t="s">
        <v>238</v>
      </c>
      <c r="N67" s="409"/>
      <c r="O67" s="409"/>
      <c r="P67" s="409"/>
      <c r="Q67" s="406"/>
      <c r="R67" s="407"/>
      <c r="S67" s="407"/>
      <c r="T67" s="407"/>
      <c r="U67" s="407"/>
      <c r="V67" s="407"/>
      <c r="W67" s="407"/>
      <c r="X67" s="407"/>
      <c r="Y67" s="407"/>
      <c r="Z67" s="407"/>
      <c r="AA67" s="407"/>
      <c r="AB67" s="407"/>
      <c r="AC67" s="408"/>
      <c r="AD67" s="402"/>
      <c r="AE67" s="402"/>
      <c r="AF67" s="402"/>
      <c r="AG67" s="402"/>
      <c r="AH67" s="402"/>
      <c r="AI67" s="402"/>
      <c r="AK67" s="348"/>
    </row>
    <row r="68" spans="1:37" s="174" customFormat="1" ht="20.100000000000001" customHeight="1" x14ac:dyDescent="0.25">
      <c r="A68" s="230"/>
      <c r="B68" s="357" t="s">
        <v>203</v>
      </c>
      <c r="C68" s="358"/>
      <c r="D68" s="358"/>
      <c r="E68" s="358"/>
      <c r="F68" s="358"/>
      <c r="G68" s="358"/>
      <c r="H68" s="358"/>
      <c r="I68" s="359"/>
      <c r="J68" s="366">
        <v>0.94</v>
      </c>
      <c r="K68" s="367"/>
      <c r="L68" s="368"/>
      <c r="M68" s="375">
        <v>45988</v>
      </c>
      <c r="N68" s="376"/>
      <c r="O68" s="376"/>
      <c r="P68" s="377"/>
      <c r="Q68" s="384"/>
      <c r="R68" s="385"/>
      <c r="S68" s="385"/>
      <c r="T68" s="385"/>
      <c r="U68" s="385"/>
      <c r="V68" s="385"/>
      <c r="W68" s="385"/>
      <c r="X68" s="385"/>
      <c r="Y68" s="385"/>
      <c r="Z68" s="385"/>
      <c r="AA68" s="385"/>
      <c r="AB68" s="385"/>
      <c r="AC68" s="386"/>
      <c r="AD68" s="393"/>
      <c r="AE68" s="394"/>
      <c r="AF68" s="394"/>
      <c r="AG68" s="394"/>
      <c r="AH68" s="394"/>
      <c r="AI68" s="395"/>
      <c r="AK68" s="344" t="s">
        <v>694</v>
      </c>
    </row>
    <row r="69" spans="1:37" s="174" customFormat="1" ht="20.100000000000001" customHeight="1" x14ac:dyDescent="0.25">
      <c r="A69" s="230">
        <v>10</v>
      </c>
      <c r="B69" s="360"/>
      <c r="C69" s="361"/>
      <c r="D69" s="361"/>
      <c r="E69" s="361"/>
      <c r="F69" s="361"/>
      <c r="G69" s="361"/>
      <c r="H69" s="361"/>
      <c r="I69" s="362"/>
      <c r="J69" s="369"/>
      <c r="K69" s="370"/>
      <c r="L69" s="371"/>
      <c r="M69" s="378"/>
      <c r="N69" s="379"/>
      <c r="O69" s="379"/>
      <c r="P69" s="380"/>
      <c r="Q69" s="387"/>
      <c r="R69" s="388"/>
      <c r="S69" s="388"/>
      <c r="T69" s="388"/>
      <c r="U69" s="388"/>
      <c r="V69" s="388"/>
      <c r="W69" s="388"/>
      <c r="X69" s="388"/>
      <c r="Y69" s="388"/>
      <c r="Z69" s="388"/>
      <c r="AA69" s="388"/>
      <c r="AB69" s="388"/>
      <c r="AC69" s="389"/>
      <c r="AD69" s="396"/>
      <c r="AE69" s="397"/>
      <c r="AF69" s="397"/>
      <c r="AG69" s="397"/>
      <c r="AH69" s="397"/>
      <c r="AI69" s="398"/>
      <c r="AK69" s="345"/>
    </row>
    <row r="70" spans="1:37" s="174" customFormat="1" ht="18.75" customHeight="1" x14ac:dyDescent="0.25">
      <c r="A70" s="230"/>
      <c r="B70" s="360"/>
      <c r="C70" s="361"/>
      <c r="D70" s="361"/>
      <c r="E70" s="361"/>
      <c r="F70" s="361"/>
      <c r="G70" s="361"/>
      <c r="H70" s="361"/>
      <c r="I70" s="362"/>
      <c r="J70" s="369"/>
      <c r="K70" s="370"/>
      <c r="L70" s="371"/>
      <c r="M70" s="378"/>
      <c r="N70" s="379"/>
      <c r="O70" s="379"/>
      <c r="P70" s="380"/>
      <c r="Q70" s="387"/>
      <c r="R70" s="388"/>
      <c r="S70" s="388"/>
      <c r="T70" s="388"/>
      <c r="U70" s="388"/>
      <c r="V70" s="388"/>
      <c r="W70" s="388"/>
      <c r="X70" s="388"/>
      <c r="Y70" s="388"/>
      <c r="Z70" s="388"/>
      <c r="AA70" s="388"/>
      <c r="AB70" s="388"/>
      <c r="AC70" s="389"/>
      <c r="AD70" s="396"/>
      <c r="AE70" s="397"/>
      <c r="AF70" s="397"/>
      <c r="AG70" s="397"/>
      <c r="AH70" s="397"/>
      <c r="AI70" s="398"/>
      <c r="AK70" s="345"/>
    </row>
    <row r="71" spans="1:37" s="174" customFormat="1" ht="20.100000000000001" customHeight="1" x14ac:dyDescent="0.25">
      <c r="A71" s="230"/>
      <c r="B71" s="363"/>
      <c r="C71" s="364"/>
      <c r="D71" s="364"/>
      <c r="E71" s="364"/>
      <c r="F71" s="364"/>
      <c r="G71" s="364"/>
      <c r="H71" s="364"/>
      <c r="I71" s="365"/>
      <c r="J71" s="372"/>
      <c r="K71" s="373"/>
      <c r="L71" s="374"/>
      <c r="M71" s="381"/>
      <c r="N71" s="382"/>
      <c r="O71" s="382"/>
      <c r="P71" s="383"/>
      <c r="Q71" s="390"/>
      <c r="R71" s="391"/>
      <c r="S71" s="391"/>
      <c r="T71" s="391"/>
      <c r="U71" s="391"/>
      <c r="V71" s="391"/>
      <c r="W71" s="391"/>
      <c r="X71" s="391"/>
      <c r="Y71" s="391"/>
      <c r="Z71" s="391"/>
      <c r="AA71" s="391"/>
      <c r="AB71" s="391"/>
      <c r="AC71" s="392"/>
      <c r="AD71" s="399"/>
      <c r="AE71" s="400"/>
      <c r="AF71" s="400"/>
      <c r="AG71" s="400"/>
      <c r="AH71" s="400"/>
      <c r="AI71" s="401"/>
      <c r="AK71" s="346"/>
    </row>
    <row r="72" spans="1:37" s="174" customFormat="1" ht="20.100000000000001" customHeight="1" x14ac:dyDescent="0.25">
      <c r="A72" s="230"/>
      <c r="B72" s="402" t="s">
        <v>77</v>
      </c>
      <c r="C72" s="402"/>
      <c r="D72" s="402"/>
      <c r="E72" s="402"/>
      <c r="F72" s="402"/>
      <c r="G72" s="402"/>
      <c r="H72" s="402"/>
      <c r="I72" s="402"/>
      <c r="J72" s="402" t="s">
        <v>78</v>
      </c>
      <c r="K72" s="402"/>
      <c r="L72" s="402"/>
      <c r="M72" s="402"/>
      <c r="N72" s="402"/>
      <c r="O72" s="402"/>
      <c r="P72" s="402"/>
      <c r="Q72" s="403" t="s">
        <v>79</v>
      </c>
      <c r="R72" s="404"/>
      <c r="S72" s="404"/>
      <c r="T72" s="404"/>
      <c r="U72" s="404"/>
      <c r="V72" s="404"/>
      <c r="W72" s="404"/>
      <c r="X72" s="404"/>
      <c r="Y72" s="404"/>
      <c r="Z72" s="404"/>
      <c r="AA72" s="404"/>
      <c r="AB72" s="404"/>
      <c r="AC72" s="405"/>
      <c r="AD72" s="402" t="s">
        <v>80</v>
      </c>
      <c r="AE72" s="402"/>
      <c r="AF72" s="402"/>
      <c r="AG72" s="402"/>
      <c r="AH72" s="402"/>
      <c r="AI72" s="402"/>
      <c r="AK72" s="347" t="s">
        <v>227</v>
      </c>
    </row>
    <row r="73" spans="1:37" s="174" customFormat="1" ht="20.100000000000001" customHeight="1" x14ac:dyDescent="0.25">
      <c r="A73" s="230"/>
      <c r="B73" s="402"/>
      <c r="C73" s="402"/>
      <c r="D73" s="402"/>
      <c r="E73" s="402"/>
      <c r="F73" s="402"/>
      <c r="G73" s="402"/>
      <c r="H73" s="402"/>
      <c r="I73" s="402"/>
      <c r="J73" s="409" t="s">
        <v>237</v>
      </c>
      <c r="K73" s="409"/>
      <c r="L73" s="409"/>
      <c r="M73" s="409" t="s">
        <v>238</v>
      </c>
      <c r="N73" s="409"/>
      <c r="O73" s="409"/>
      <c r="P73" s="409"/>
      <c r="Q73" s="406"/>
      <c r="R73" s="407"/>
      <c r="S73" s="407"/>
      <c r="T73" s="407"/>
      <c r="U73" s="407"/>
      <c r="V73" s="407"/>
      <c r="W73" s="407"/>
      <c r="X73" s="407"/>
      <c r="Y73" s="407"/>
      <c r="Z73" s="407"/>
      <c r="AA73" s="407"/>
      <c r="AB73" s="407"/>
      <c r="AC73" s="408"/>
      <c r="AD73" s="402"/>
      <c r="AE73" s="402"/>
      <c r="AF73" s="402"/>
      <c r="AG73" s="402"/>
      <c r="AH73" s="402"/>
      <c r="AI73" s="402"/>
      <c r="AK73" s="348"/>
    </row>
    <row r="74" spans="1:37" s="174" customFormat="1" ht="20.100000000000001" customHeight="1" x14ac:dyDescent="0.25">
      <c r="A74" s="230"/>
      <c r="B74" s="357"/>
      <c r="C74" s="358"/>
      <c r="D74" s="358"/>
      <c r="E74" s="358"/>
      <c r="F74" s="358"/>
      <c r="G74" s="358"/>
      <c r="H74" s="358"/>
      <c r="I74" s="359"/>
      <c r="J74" s="366"/>
      <c r="K74" s="367"/>
      <c r="L74" s="368"/>
      <c r="M74" s="375"/>
      <c r="N74" s="376"/>
      <c r="O74" s="376"/>
      <c r="P74" s="377"/>
      <c r="Q74" s="384"/>
      <c r="R74" s="385"/>
      <c r="S74" s="385"/>
      <c r="T74" s="385"/>
      <c r="U74" s="385"/>
      <c r="V74" s="385"/>
      <c r="W74" s="385"/>
      <c r="X74" s="385"/>
      <c r="Y74" s="385"/>
      <c r="Z74" s="385"/>
      <c r="AA74" s="385"/>
      <c r="AB74" s="385"/>
      <c r="AC74" s="386"/>
      <c r="AD74" s="393"/>
      <c r="AE74" s="394"/>
      <c r="AF74" s="394"/>
      <c r="AG74" s="394"/>
      <c r="AH74" s="394"/>
      <c r="AI74" s="395"/>
      <c r="AK74" s="344"/>
    </row>
    <row r="75" spans="1:37" s="174" customFormat="1" ht="20.100000000000001" customHeight="1" x14ac:dyDescent="0.25">
      <c r="A75" s="230">
        <v>11</v>
      </c>
      <c r="B75" s="360"/>
      <c r="C75" s="361"/>
      <c r="D75" s="361"/>
      <c r="E75" s="361"/>
      <c r="F75" s="361"/>
      <c r="G75" s="361"/>
      <c r="H75" s="361"/>
      <c r="I75" s="362"/>
      <c r="J75" s="369"/>
      <c r="K75" s="370"/>
      <c r="L75" s="371"/>
      <c r="M75" s="378"/>
      <c r="N75" s="379"/>
      <c r="O75" s="379"/>
      <c r="P75" s="380"/>
      <c r="Q75" s="387"/>
      <c r="R75" s="388"/>
      <c r="S75" s="388"/>
      <c r="T75" s="388"/>
      <c r="U75" s="388"/>
      <c r="V75" s="388"/>
      <c r="W75" s="388"/>
      <c r="X75" s="388"/>
      <c r="Y75" s="388"/>
      <c r="Z75" s="388"/>
      <c r="AA75" s="388"/>
      <c r="AB75" s="388"/>
      <c r="AC75" s="389"/>
      <c r="AD75" s="396"/>
      <c r="AE75" s="397"/>
      <c r="AF75" s="397"/>
      <c r="AG75" s="397"/>
      <c r="AH75" s="397"/>
      <c r="AI75" s="398"/>
      <c r="AK75" s="345"/>
    </row>
    <row r="76" spans="1:37" s="174" customFormat="1" ht="20.100000000000001" customHeight="1" x14ac:dyDescent="0.25">
      <c r="A76" s="230"/>
      <c r="B76" s="360"/>
      <c r="C76" s="361"/>
      <c r="D76" s="361"/>
      <c r="E76" s="361"/>
      <c r="F76" s="361"/>
      <c r="G76" s="361"/>
      <c r="H76" s="361"/>
      <c r="I76" s="362"/>
      <c r="J76" s="369"/>
      <c r="K76" s="370"/>
      <c r="L76" s="371"/>
      <c r="M76" s="378"/>
      <c r="N76" s="379"/>
      <c r="O76" s="379"/>
      <c r="P76" s="380"/>
      <c r="Q76" s="387"/>
      <c r="R76" s="388"/>
      <c r="S76" s="388"/>
      <c r="T76" s="388"/>
      <c r="U76" s="388"/>
      <c r="V76" s="388"/>
      <c r="W76" s="388"/>
      <c r="X76" s="388"/>
      <c r="Y76" s="388"/>
      <c r="Z76" s="388"/>
      <c r="AA76" s="388"/>
      <c r="AB76" s="388"/>
      <c r="AC76" s="389"/>
      <c r="AD76" s="396"/>
      <c r="AE76" s="397"/>
      <c r="AF76" s="397"/>
      <c r="AG76" s="397"/>
      <c r="AH76" s="397"/>
      <c r="AI76" s="398"/>
      <c r="AK76" s="345"/>
    </row>
    <row r="77" spans="1:37" s="174" customFormat="1" ht="20.100000000000001" customHeight="1" x14ac:dyDescent="0.25">
      <c r="A77" s="230"/>
      <c r="B77" s="363"/>
      <c r="C77" s="364"/>
      <c r="D77" s="364"/>
      <c r="E77" s="364"/>
      <c r="F77" s="364"/>
      <c r="G77" s="364"/>
      <c r="H77" s="364"/>
      <c r="I77" s="365"/>
      <c r="J77" s="372"/>
      <c r="K77" s="373"/>
      <c r="L77" s="374"/>
      <c r="M77" s="381"/>
      <c r="N77" s="382"/>
      <c r="O77" s="382"/>
      <c r="P77" s="383"/>
      <c r="Q77" s="390"/>
      <c r="R77" s="391"/>
      <c r="S77" s="391"/>
      <c r="T77" s="391"/>
      <c r="U77" s="391"/>
      <c r="V77" s="391"/>
      <c r="W77" s="391"/>
      <c r="X77" s="391"/>
      <c r="Y77" s="391"/>
      <c r="Z77" s="391"/>
      <c r="AA77" s="391"/>
      <c r="AB77" s="391"/>
      <c r="AC77" s="392"/>
      <c r="AD77" s="399"/>
      <c r="AE77" s="400"/>
      <c r="AF77" s="400"/>
      <c r="AG77" s="400"/>
      <c r="AH77" s="400"/>
      <c r="AI77" s="401"/>
      <c r="AK77" s="346"/>
    </row>
    <row r="78" spans="1:37" s="174" customFormat="1" ht="20.100000000000001" customHeight="1" x14ac:dyDescent="0.25">
      <c r="A78" s="230"/>
      <c r="B78" s="402" t="s">
        <v>77</v>
      </c>
      <c r="C78" s="402"/>
      <c r="D78" s="402"/>
      <c r="E78" s="402"/>
      <c r="F78" s="402"/>
      <c r="G78" s="402"/>
      <c r="H78" s="402"/>
      <c r="I78" s="402"/>
      <c r="J78" s="402" t="s">
        <v>78</v>
      </c>
      <c r="K78" s="402"/>
      <c r="L78" s="402"/>
      <c r="M78" s="402"/>
      <c r="N78" s="402"/>
      <c r="O78" s="402"/>
      <c r="P78" s="402"/>
      <c r="Q78" s="403" t="s">
        <v>79</v>
      </c>
      <c r="R78" s="404"/>
      <c r="S78" s="404"/>
      <c r="T78" s="404"/>
      <c r="U78" s="404"/>
      <c r="V78" s="404"/>
      <c r="W78" s="404"/>
      <c r="X78" s="404"/>
      <c r="Y78" s="404"/>
      <c r="Z78" s="404"/>
      <c r="AA78" s="404"/>
      <c r="AB78" s="404"/>
      <c r="AC78" s="405"/>
      <c r="AD78" s="402" t="s">
        <v>80</v>
      </c>
      <c r="AE78" s="402"/>
      <c r="AF78" s="402"/>
      <c r="AG78" s="402"/>
      <c r="AH78" s="402"/>
      <c r="AI78" s="402"/>
      <c r="AK78" s="347" t="s">
        <v>227</v>
      </c>
    </row>
    <row r="79" spans="1:37" s="174" customFormat="1" ht="20.100000000000001" customHeight="1" x14ac:dyDescent="0.25">
      <c r="A79" s="230"/>
      <c r="B79" s="402"/>
      <c r="C79" s="402"/>
      <c r="D79" s="402"/>
      <c r="E79" s="402"/>
      <c r="F79" s="402"/>
      <c r="G79" s="402"/>
      <c r="H79" s="402"/>
      <c r="I79" s="402"/>
      <c r="J79" s="409" t="s">
        <v>237</v>
      </c>
      <c r="K79" s="409"/>
      <c r="L79" s="409"/>
      <c r="M79" s="409" t="s">
        <v>238</v>
      </c>
      <c r="N79" s="409"/>
      <c r="O79" s="409"/>
      <c r="P79" s="409"/>
      <c r="Q79" s="406"/>
      <c r="R79" s="407"/>
      <c r="S79" s="407"/>
      <c r="T79" s="407"/>
      <c r="U79" s="407"/>
      <c r="V79" s="407"/>
      <c r="W79" s="407"/>
      <c r="X79" s="407"/>
      <c r="Y79" s="407"/>
      <c r="Z79" s="407"/>
      <c r="AA79" s="407"/>
      <c r="AB79" s="407"/>
      <c r="AC79" s="408"/>
      <c r="AD79" s="402"/>
      <c r="AE79" s="402"/>
      <c r="AF79" s="402"/>
      <c r="AG79" s="402"/>
      <c r="AH79" s="402"/>
      <c r="AI79" s="402"/>
      <c r="AK79" s="348"/>
    </row>
    <row r="80" spans="1:37" s="174" customFormat="1" ht="20.100000000000001" customHeight="1" x14ac:dyDescent="0.25">
      <c r="A80" s="230"/>
      <c r="B80" s="357"/>
      <c r="C80" s="358"/>
      <c r="D80" s="358"/>
      <c r="E80" s="358"/>
      <c r="F80" s="358"/>
      <c r="G80" s="358"/>
      <c r="H80" s="358"/>
      <c r="I80" s="359"/>
      <c r="J80" s="366"/>
      <c r="K80" s="367"/>
      <c r="L80" s="368"/>
      <c r="M80" s="375"/>
      <c r="N80" s="376"/>
      <c r="O80" s="376"/>
      <c r="P80" s="377"/>
      <c r="Q80" s="384"/>
      <c r="R80" s="385"/>
      <c r="S80" s="385"/>
      <c r="T80" s="385"/>
      <c r="U80" s="385"/>
      <c r="V80" s="385"/>
      <c r="W80" s="385"/>
      <c r="X80" s="385"/>
      <c r="Y80" s="385"/>
      <c r="Z80" s="385"/>
      <c r="AA80" s="385"/>
      <c r="AB80" s="385"/>
      <c r="AC80" s="386"/>
      <c r="AD80" s="468"/>
      <c r="AE80" s="469"/>
      <c r="AF80" s="469"/>
      <c r="AG80" s="469"/>
      <c r="AH80" s="469"/>
      <c r="AI80" s="470"/>
      <c r="AK80" s="344"/>
    </row>
    <row r="81" spans="1:37" s="174" customFormat="1" ht="20.100000000000001" customHeight="1" x14ac:dyDescent="0.25">
      <c r="A81" s="230">
        <v>12</v>
      </c>
      <c r="B81" s="360"/>
      <c r="C81" s="361"/>
      <c r="D81" s="361"/>
      <c r="E81" s="361"/>
      <c r="F81" s="361"/>
      <c r="G81" s="361"/>
      <c r="H81" s="361"/>
      <c r="I81" s="362"/>
      <c r="J81" s="369"/>
      <c r="K81" s="370"/>
      <c r="L81" s="371"/>
      <c r="M81" s="378"/>
      <c r="N81" s="379"/>
      <c r="O81" s="379"/>
      <c r="P81" s="380"/>
      <c r="Q81" s="387"/>
      <c r="R81" s="388"/>
      <c r="S81" s="388"/>
      <c r="T81" s="388"/>
      <c r="U81" s="388"/>
      <c r="V81" s="388"/>
      <c r="W81" s="388"/>
      <c r="X81" s="388"/>
      <c r="Y81" s="388"/>
      <c r="Z81" s="388"/>
      <c r="AA81" s="388"/>
      <c r="AB81" s="388"/>
      <c r="AC81" s="389"/>
      <c r="AD81" s="471"/>
      <c r="AE81" s="472"/>
      <c r="AF81" s="472"/>
      <c r="AG81" s="472"/>
      <c r="AH81" s="472"/>
      <c r="AI81" s="473"/>
      <c r="AK81" s="345"/>
    </row>
    <row r="82" spans="1:37" s="174" customFormat="1" ht="20.100000000000001" customHeight="1" x14ac:dyDescent="0.25">
      <c r="A82" s="230"/>
      <c r="B82" s="360"/>
      <c r="C82" s="361"/>
      <c r="D82" s="361"/>
      <c r="E82" s="361"/>
      <c r="F82" s="361"/>
      <c r="G82" s="361"/>
      <c r="H82" s="361"/>
      <c r="I82" s="362"/>
      <c r="J82" s="369"/>
      <c r="K82" s="370"/>
      <c r="L82" s="371"/>
      <c r="M82" s="378"/>
      <c r="N82" s="379"/>
      <c r="O82" s="379"/>
      <c r="P82" s="380"/>
      <c r="Q82" s="387"/>
      <c r="R82" s="388"/>
      <c r="S82" s="388"/>
      <c r="T82" s="388"/>
      <c r="U82" s="388"/>
      <c r="V82" s="388"/>
      <c r="W82" s="388"/>
      <c r="X82" s="388"/>
      <c r="Y82" s="388"/>
      <c r="Z82" s="388"/>
      <c r="AA82" s="388"/>
      <c r="AB82" s="388"/>
      <c r="AC82" s="389"/>
      <c r="AD82" s="471"/>
      <c r="AE82" s="472"/>
      <c r="AF82" s="472"/>
      <c r="AG82" s="472"/>
      <c r="AH82" s="472"/>
      <c r="AI82" s="473"/>
      <c r="AK82" s="345"/>
    </row>
    <row r="83" spans="1:37" s="174" customFormat="1" ht="20.100000000000001" customHeight="1" x14ac:dyDescent="0.25">
      <c r="A83" s="230"/>
      <c r="B83" s="363"/>
      <c r="C83" s="364"/>
      <c r="D83" s="364"/>
      <c r="E83" s="364"/>
      <c r="F83" s="364"/>
      <c r="G83" s="364"/>
      <c r="H83" s="364"/>
      <c r="I83" s="365"/>
      <c r="J83" s="372"/>
      <c r="K83" s="373"/>
      <c r="L83" s="374"/>
      <c r="M83" s="381"/>
      <c r="N83" s="382"/>
      <c r="O83" s="382"/>
      <c r="P83" s="383"/>
      <c r="Q83" s="390"/>
      <c r="R83" s="391"/>
      <c r="S83" s="391"/>
      <c r="T83" s="391"/>
      <c r="U83" s="391"/>
      <c r="V83" s="391"/>
      <c r="W83" s="391"/>
      <c r="X83" s="391"/>
      <c r="Y83" s="391"/>
      <c r="Z83" s="391"/>
      <c r="AA83" s="391"/>
      <c r="AB83" s="391"/>
      <c r="AC83" s="392"/>
      <c r="AD83" s="474"/>
      <c r="AE83" s="475"/>
      <c r="AF83" s="475"/>
      <c r="AG83" s="475"/>
      <c r="AH83" s="475"/>
      <c r="AI83" s="476"/>
      <c r="AK83" s="346"/>
    </row>
    <row r="84" spans="1:37" s="174" customFormat="1" ht="20.100000000000001" customHeight="1" x14ac:dyDescent="0.25">
      <c r="A84" s="230"/>
      <c r="B84" s="402" t="s">
        <v>77</v>
      </c>
      <c r="C84" s="402"/>
      <c r="D84" s="402"/>
      <c r="E84" s="402"/>
      <c r="F84" s="402"/>
      <c r="G84" s="402"/>
      <c r="H84" s="402"/>
      <c r="I84" s="402"/>
      <c r="J84" s="402" t="s">
        <v>78</v>
      </c>
      <c r="K84" s="402"/>
      <c r="L84" s="402"/>
      <c r="M84" s="402"/>
      <c r="N84" s="402"/>
      <c r="O84" s="402"/>
      <c r="P84" s="402"/>
      <c r="Q84" s="403" t="s">
        <v>79</v>
      </c>
      <c r="R84" s="404"/>
      <c r="S84" s="404"/>
      <c r="T84" s="404"/>
      <c r="U84" s="404"/>
      <c r="V84" s="404"/>
      <c r="W84" s="404"/>
      <c r="X84" s="404"/>
      <c r="Y84" s="404"/>
      <c r="Z84" s="404"/>
      <c r="AA84" s="404"/>
      <c r="AB84" s="404"/>
      <c r="AC84" s="405"/>
      <c r="AD84" s="402" t="s">
        <v>80</v>
      </c>
      <c r="AE84" s="402"/>
      <c r="AF84" s="402"/>
      <c r="AG84" s="402"/>
      <c r="AH84" s="402"/>
      <c r="AI84" s="402"/>
      <c r="AK84" s="347" t="s">
        <v>227</v>
      </c>
    </row>
    <row r="85" spans="1:37" s="174" customFormat="1" ht="20.100000000000001" customHeight="1" x14ac:dyDescent="0.25">
      <c r="A85" s="230"/>
      <c r="B85" s="402"/>
      <c r="C85" s="402"/>
      <c r="D85" s="402"/>
      <c r="E85" s="402"/>
      <c r="F85" s="402"/>
      <c r="G85" s="402"/>
      <c r="H85" s="402"/>
      <c r="I85" s="402"/>
      <c r="J85" s="409" t="s">
        <v>237</v>
      </c>
      <c r="K85" s="409"/>
      <c r="L85" s="409"/>
      <c r="M85" s="409" t="s">
        <v>238</v>
      </c>
      <c r="N85" s="409"/>
      <c r="O85" s="409"/>
      <c r="P85" s="409"/>
      <c r="Q85" s="406"/>
      <c r="R85" s="407"/>
      <c r="S85" s="407"/>
      <c r="T85" s="407"/>
      <c r="U85" s="407"/>
      <c r="V85" s="407"/>
      <c r="W85" s="407"/>
      <c r="X85" s="407"/>
      <c r="Y85" s="407"/>
      <c r="Z85" s="407"/>
      <c r="AA85" s="407"/>
      <c r="AB85" s="407"/>
      <c r="AC85" s="408"/>
      <c r="AD85" s="402"/>
      <c r="AE85" s="402"/>
      <c r="AF85" s="402"/>
      <c r="AG85" s="402"/>
      <c r="AH85" s="402"/>
      <c r="AI85" s="402"/>
      <c r="AK85" s="348"/>
    </row>
    <row r="86" spans="1:37" s="174" customFormat="1" ht="20.100000000000001" customHeight="1" x14ac:dyDescent="0.25">
      <c r="A86" s="230"/>
      <c r="B86" s="357"/>
      <c r="C86" s="358"/>
      <c r="D86" s="358"/>
      <c r="E86" s="358"/>
      <c r="F86" s="358"/>
      <c r="G86" s="358"/>
      <c r="H86" s="358"/>
      <c r="I86" s="359"/>
      <c r="J86" s="366"/>
      <c r="K86" s="367"/>
      <c r="L86" s="368"/>
      <c r="M86" s="375"/>
      <c r="N86" s="376"/>
      <c r="O86" s="376"/>
      <c r="P86" s="377"/>
      <c r="Q86" s="384"/>
      <c r="R86" s="385"/>
      <c r="S86" s="385"/>
      <c r="T86" s="385"/>
      <c r="U86" s="385"/>
      <c r="V86" s="385"/>
      <c r="W86" s="385"/>
      <c r="X86" s="385"/>
      <c r="Y86" s="385"/>
      <c r="Z86" s="385"/>
      <c r="AA86" s="385"/>
      <c r="AB86" s="385"/>
      <c r="AC86" s="386"/>
      <c r="AD86" s="393"/>
      <c r="AE86" s="394"/>
      <c r="AF86" s="394"/>
      <c r="AG86" s="394"/>
      <c r="AH86" s="394"/>
      <c r="AI86" s="395"/>
      <c r="AK86" s="344"/>
    </row>
    <row r="87" spans="1:37" s="174" customFormat="1" ht="20.100000000000001" customHeight="1" x14ac:dyDescent="0.25">
      <c r="A87" s="230"/>
      <c r="B87" s="360"/>
      <c r="C87" s="361"/>
      <c r="D87" s="361"/>
      <c r="E87" s="361"/>
      <c r="F87" s="361"/>
      <c r="G87" s="361"/>
      <c r="H87" s="361"/>
      <c r="I87" s="362"/>
      <c r="J87" s="369"/>
      <c r="K87" s="370"/>
      <c r="L87" s="371"/>
      <c r="M87" s="378"/>
      <c r="N87" s="379"/>
      <c r="O87" s="379"/>
      <c r="P87" s="380"/>
      <c r="Q87" s="387"/>
      <c r="R87" s="388"/>
      <c r="S87" s="388"/>
      <c r="T87" s="388"/>
      <c r="U87" s="388"/>
      <c r="V87" s="388"/>
      <c r="W87" s="388"/>
      <c r="X87" s="388"/>
      <c r="Y87" s="388"/>
      <c r="Z87" s="388"/>
      <c r="AA87" s="388"/>
      <c r="AB87" s="388"/>
      <c r="AC87" s="389"/>
      <c r="AD87" s="396"/>
      <c r="AE87" s="397"/>
      <c r="AF87" s="397"/>
      <c r="AG87" s="397"/>
      <c r="AH87" s="397"/>
      <c r="AI87" s="398"/>
      <c r="AK87" s="345"/>
    </row>
    <row r="88" spans="1:37" s="174" customFormat="1" ht="20.100000000000001" customHeight="1" x14ac:dyDescent="0.25">
      <c r="A88" s="230"/>
      <c r="B88" s="360"/>
      <c r="C88" s="361"/>
      <c r="D88" s="361"/>
      <c r="E88" s="361"/>
      <c r="F88" s="361"/>
      <c r="G88" s="361"/>
      <c r="H88" s="361"/>
      <c r="I88" s="362"/>
      <c r="J88" s="369"/>
      <c r="K88" s="370"/>
      <c r="L88" s="371"/>
      <c r="M88" s="378"/>
      <c r="N88" s="379"/>
      <c r="O88" s="379"/>
      <c r="P88" s="380"/>
      <c r="Q88" s="387"/>
      <c r="R88" s="388"/>
      <c r="S88" s="388"/>
      <c r="T88" s="388"/>
      <c r="U88" s="388"/>
      <c r="V88" s="388"/>
      <c r="W88" s="388"/>
      <c r="X88" s="388"/>
      <c r="Y88" s="388"/>
      <c r="Z88" s="388"/>
      <c r="AA88" s="388"/>
      <c r="AB88" s="388"/>
      <c r="AC88" s="389"/>
      <c r="AD88" s="396"/>
      <c r="AE88" s="397"/>
      <c r="AF88" s="397"/>
      <c r="AG88" s="397"/>
      <c r="AH88" s="397"/>
      <c r="AI88" s="398"/>
      <c r="AK88" s="345"/>
    </row>
    <row r="89" spans="1:37" s="174" customFormat="1" ht="20.100000000000001" customHeight="1" x14ac:dyDescent="0.25">
      <c r="A89" s="230"/>
      <c r="B89" s="363"/>
      <c r="C89" s="364"/>
      <c r="D89" s="364"/>
      <c r="E89" s="364"/>
      <c r="F89" s="364"/>
      <c r="G89" s="364"/>
      <c r="H89" s="364"/>
      <c r="I89" s="365"/>
      <c r="J89" s="372"/>
      <c r="K89" s="373"/>
      <c r="L89" s="374"/>
      <c r="M89" s="381"/>
      <c r="N89" s="382"/>
      <c r="O89" s="382"/>
      <c r="P89" s="383"/>
      <c r="Q89" s="390"/>
      <c r="R89" s="391"/>
      <c r="S89" s="391"/>
      <c r="T89" s="391"/>
      <c r="U89" s="391"/>
      <c r="V89" s="391"/>
      <c r="W89" s="391"/>
      <c r="X89" s="391"/>
      <c r="Y89" s="391"/>
      <c r="Z89" s="391"/>
      <c r="AA89" s="391"/>
      <c r="AB89" s="391"/>
      <c r="AC89" s="392"/>
      <c r="AD89" s="399"/>
      <c r="AE89" s="400"/>
      <c r="AF89" s="400"/>
      <c r="AG89" s="400"/>
      <c r="AH89" s="400"/>
      <c r="AI89" s="401"/>
      <c r="AK89" s="346"/>
    </row>
    <row r="90" spans="1:37" s="174" customFormat="1" ht="20.100000000000001" customHeight="1" x14ac:dyDescent="0.25">
      <c r="A90" s="230"/>
      <c r="B90" s="402" t="s">
        <v>77</v>
      </c>
      <c r="C90" s="402"/>
      <c r="D90" s="402"/>
      <c r="E90" s="402"/>
      <c r="F90" s="402"/>
      <c r="G90" s="402"/>
      <c r="H90" s="402"/>
      <c r="I90" s="402"/>
      <c r="J90" s="402" t="s">
        <v>78</v>
      </c>
      <c r="K90" s="402"/>
      <c r="L90" s="402"/>
      <c r="M90" s="402"/>
      <c r="N90" s="402"/>
      <c r="O90" s="402"/>
      <c r="P90" s="402"/>
      <c r="Q90" s="403" t="s">
        <v>79</v>
      </c>
      <c r="R90" s="404"/>
      <c r="S90" s="404"/>
      <c r="T90" s="404"/>
      <c r="U90" s="404"/>
      <c r="V90" s="404"/>
      <c r="W90" s="404"/>
      <c r="X90" s="404"/>
      <c r="Y90" s="404"/>
      <c r="Z90" s="404"/>
      <c r="AA90" s="404"/>
      <c r="AB90" s="404"/>
      <c r="AC90" s="405"/>
      <c r="AD90" s="402" t="s">
        <v>80</v>
      </c>
      <c r="AE90" s="402"/>
      <c r="AF90" s="402"/>
      <c r="AG90" s="402"/>
      <c r="AH90" s="402"/>
      <c r="AI90" s="402"/>
      <c r="AK90" s="347" t="s">
        <v>227</v>
      </c>
    </row>
    <row r="91" spans="1:37" s="174" customFormat="1" ht="20.100000000000001" customHeight="1" x14ac:dyDescent="0.25">
      <c r="A91" s="230"/>
      <c r="B91" s="402"/>
      <c r="C91" s="402"/>
      <c r="D91" s="402"/>
      <c r="E91" s="402"/>
      <c r="F91" s="402"/>
      <c r="G91" s="402"/>
      <c r="H91" s="402"/>
      <c r="I91" s="402"/>
      <c r="J91" s="409" t="s">
        <v>237</v>
      </c>
      <c r="K91" s="409"/>
      <c r="L91" s="409"/>
      <c r="M91" s="409" t="s">
        <v>238</v>
      </c>
      <c r="N91" s="409"/>
      <c r="O91" s="409"/>
      <c r="P91" s="409"/>
      <c r="Q91" s="406"/>
      <c r="R91" s="407"/>
      <c r="S91" s="407"/>
      <c r="T91" s="407"/>
      <c r="U91" s="407"/>
      <c r="V91" s="407"/>
      <c r="W91" s="407"/>
      <c r="X91" s="407"/>
      <c r="Y91" s="407"/>
      <c r="Z91" s="407"/>
      <c r="AA91" s="407"/>
      <c r="AB91" s="407"/>
      <c r="AC91" s="408"/>
      <c r="AD91" s="402"/>
      <c r="AE91" s="402"/>
      <c r="AF91" s="402"/>
      <c r="AG91" s="402"/>
      <c r="AH91" s="402"/>
      <c r="AI91" s="402"/>
      <c r="AK91" s="348"/>
    </row>
    <row r="92" spans="1:37" s="174" customFormat="1" ht="20.100000000000001" customHeight="1" x14ac:dyDescent="0.25">
      <c r="A92" s="230"/>
      <c r="B92" s="357"/>
      <c r="C92" s="358"/>
      <c r="D92" s="358"/>
      <c r="E92" s="358"/>
      <c r="F92" s="358"/>
      <c r="G92" s="358"/>
      <c r="H92" s="358"/>
      <c r="I92" s="359"/>
      <c r="J92" s="366"/>
      <c r="K92" s="367"/>
      <c r="L92" s="368"/>
      <c r="M92" s="375"/>
      <c r="N92" s="376"/>
      <c r="O92" s="376"/>
      <c r="P92" s="377"/>
      <c r="Q92" s="384"/>
      <c r="R92" s="385"/>
      <c r="S92" s="385"/>
      <c r="T92" s="385"/>
      <c r="U92" s="385"/>
      <c r="V92" s="385"/>
      <c r="W92" s="385"/>
      <c r="X92" s="385"/>
      <c r="Y92" s="385"/>
      <c r="Z92" s="385"/>
      <c r="AA92" s="385"/>
      <c r="AB92" s="385"/>
      <c r="AC92" s="386"/>
      <c r="AD92" s="393"/>
      <c r="AE92" s="394"/>
      <c r="AF92" s="394"/>
      <c r="AG92" s="394"/>
      <c r="AH92" s="394"/>
      <c r="AI92" s="395"/>
      <c r="AK92" s="344"/>
    </row>
    <row r="93" spans="1:37" s="174" customFormat="1" ht="20.100000000000001" customHeight="1" x14ac:dyDescent="0.25">
      <c r="A93" s="230"/>
      <c r="B93" s="360"/>
      <c r="C93" s="361"/>
      <c r="D93" s="361"/>
      <c r="E93" s="361"/>
      <c r="F93" s="361"/>
      <c r="G93" s="361"/>
      <c r="H93" s="361"/>
      <c r="I93" s="362"/>
      <c r="J93" s="369"/>
      <c r="K93" s="370"/>
      <c r="L93" s="371"/>
      <c r="M93" s="378"/>
      <c r="N93" s="379"/>
      <c r="O93" s="379"/>
      <c r="P93" s="380"/>
      <c r="Q93" s="387"/>
      <c r="R93" s="388"/>
      <c r="S93" s="388"/>
      <c r="T93" s="388"/>
      <c r="U93" s="388"/>
      <c r="V93" s="388"/>
      <c r="W93" s="388"/>
      <c r="X93" s="388"/>
      <c r="Y93" s="388"/>
      <c r="Z93" s="388"/>
      <c r="AA93" s="388"/>
      <c r="AB93" s="388"/>
      <c r="AC93" s="389"/>
      <c r="AD93" s="396"/>
      <c r="AE93" s="397"/>
      <c r="AF93" s="397"/>
      <c r="AG93" s="397"/>
      <c r="AH93" s="397"/>
      <c r="AI93" s="398"/>
      <c r="AK93" s="345"/>
    </row>
    <row r="94" spans="1:37" s="174" customFormat="1" ht="20.100000000000001" customHeight="1" x14ac:dyDescent="0.25">
      <c r="A94" s="230"/>
      <c r="B94" s="360"/>
      <c r="C94" s="361"/>
      <c r="D94" s="361"/>
      <c r="E94" s="361"/>
      <c r="F94" s="361"/>
      <c r="G94" s="361"/>
      <c r="H94" s="361"/>
      <c r="I94" s="362"/>
      <c r="J94" s="369"/>
      <c r="K94" s="370"/>
      <c r="L94" s="371"/>
      <c r="M94" s="378"/>
      <c r="N94" s="379"/>
      <c r="O94" s="379"/>
      <c r="P94" s="380"/>
      <c r="Q94" s="387"/>
      <c r="R94" s="388"/>
      <c r="S94" s="388"/>
      <c r="T94" s="388"/>
      <c r="U94" s="388"/>
      <c r="V94" s="388"/>
      <c r="W94" s="388"/>
      <c r="X94" s="388"/>
      <c r="Y94" s="388"/>
      <c r="Z94" s="388"/>
      <c r="AA94" s="388"/>
      <c r="AB94" s="388"/>
      <c r="AC94" s="389"/>
      <c r="AD94" s="396"/>
      <c r="AE94" s="397"/>
      <c r="AF94" s="397"/>
      <c r="AG94" s="397"/>
      <c r="AH94" s="397"/>
      <c r="AI94" s="398"/>
      <c r="AK94" s="345"/>
    </row>
    <row r="95" spans="1:37" s="174" customFormat="1" ht="20.100000000000001" customHeight="1" x14ac:dyDescent="0.25">
      <c r="A95" s="230"/>
      <c r="B95" s="363"/>
      <c r="C95" s="364"/>
      <c r="D95" s="364"/>
      <c r="E95" s="364"/>
      <c r="F95" s="364"/>
      <c r="G95" s="364"/>
      <c r="H95" s="364"/>
      <c r="I95" s="365"/>
      <c r="J95" s="372"/>
      <c r="K95" s="373"/>
      <c r="L95" s="374"/>
      <c r="M95" s="381"/>
      <c r="N95" s="382"/>
      <c r="O95" s="382"/>
      <c r="P95" s="383"/>
      <c r="Q95" s="390"/>
      <c r="R95" s="391"/>
      <c r="S95" s="391"/>
      <c r="T95" s="391"/>
      <c r="U95" s="391"/>
      <c r="V95" s="391"/>
      <c r="W95" s="391"/>
      <c r="X95" s="391"/>
      <c r="Y95" s="391"/>
      <c r="Z95" s="391"/>
      <c r="AA95" s="391"/>
      <c r="AB95" s="391"/>
      <c r="AC95" s="392"/>
      <c r="AD95" s="399"/>
      <c r="AE95" s="400"/>
      <c r="AF95" s="400"/>
      <c r="AG95" s="400"/>
      <c r="AH95" s="400"/>
      <c r="AI95" s="401"/>
      <c r="AK95" s="346"/>
    </row>
    <row r="96" spans="1:37" s="174" customFormat="1" ht="20.100000000000001" customHeight="1" x14ac:dyDescent="0.25">
      <c r="A96" s="230"/>
      <c r="B96" s="402" t="s">
        <v>77</v>
      </c>
      <c r="C96" s="402"/>
      <c r="D96" s="402"/>
      <c r="E96" s="402"/>
      <c r="F96" s="402"/>
      <c r="G96" s="402"/>
      <c r="H96" s="402"/>
      <c r="I96" s="402"/>
      <c r="J96" s="402" t="s">
        <v>78</v>
      </c>
      <c r="K96" s="402"/>
      <c r="L96" s="402"/>
      <c r="M96" s="402"/>
      <c r="N96" s="402"/>
      <c r="O96" s="402"/>
      <c r="P96" s="402"/>
      <c r="Q96" s="403" t="s">
        <v>79</v>
      </c>
      <c r="R96" s="404"/>
      <c r="S96" s="404"/>
      <c r="T96" s="404"/>
      <c r="U96" s="404"/>
      <c r="V96" s="404"/>
      <c r="W96" s="404"/>
      <c r="X96" s="404"/>
      <c r="Y96" s="404"/>
      <c r="Z96" s="404"/>
      <c r="AA96" s="404"/>
      <c r="AB96" s="404"/>
      <c r="AC96" s="405"/>
      <c r="AD96" s="402" t="s">
        <v>80</v>
      </c>
      <c r="AE96" s="402"/>
      <c r="AF96" s="402"/>
      <c r="AG96" s="402"/>
      <c r="AH96" s="402"/>
      <c r="AI96" s="402"/>
      <c r="AK96" s="347" t="s">
        <v>227</v>
      </c>
    </row>
    <row r="97" spans="1:37" s="174" customFormat="1" ht="20.100000000000001" customHeight="1" x14ac:dyDescent="0.25">
      <c r="A97" s="230"/>
      <c r="B97" s="402"/>
      <c r="C97" s="402"/>
      <c r="D97" s="402"/>
      <c r="E97" s="402"/>
      <c r="F97" s="402"/>
      <c r="G97" s="402"/>
      <c r="H97" s="402"/>
      <c r="I97" s="402"/>
      <c r="J97" s="409" t="s">
        <v>237</v>
      </c>
      <c r="K97" s="409"/>
      <c r="L97" s="409"/>
      <c r="M97" s="409" t="s">
        <v>238</v>
      </c>
      <c r="N97" s="409"/>
      <c r="O97" s="409"/>
      <c r="P97" s="409"/>
      <c r="Q97" s="406"/>
      <c r="R97" s="407"/>
      <c r="S97" s="407"/>
      <c r="T97" s="407"/>
      <c r="U97" s="407"/>
      <c r="V97" s="407"/>
      <c r="W97" s="407"/>
      <c r="X97" s="407"/>
      <c r="Y97" s="407"/>
      <c r="Z97" s="407"/>
      <c r="AA97" s="407"/>
      <c r="AB97" s="407"/>
      <c r="AC97" s="408"/>
      <c r="AD97" s="402"/>
      <c r="AE97" s="402"/>
      <c r="AF97" s="402"/>
      <c r="AG97" s="402"/>
      <c r="AH97" s="402"/>
      <c r="AI97" s="402"/>
      <c r="AK97" s="348"/>
    </row>
    <row r="98" spans="1:37" s="174" customFormat="1" ht="20.100000000000001" customHeight="1" x14ac:dyDescent="0.25">
      <c r="A98" s="230"/>
      <c r="B98" s="357"/>
      <c r="C98" s="358"/>
      <c r="D98" s="358"/>
      <c r="E98" s="358"/>
      <c r="F98" s="358"/>
      <c r="G98" s="358"/>
      <c r="H98" s="358"/>
      <c r="I98" s="359"/>
      <c r="J98" s="366"/>
      <c r="K98" s="367"/>
      <c r="L98" s="368"/>
      <c r="M98" s="375"/>
      <c r="N98" s="376"/>
      <c r="O98" s="376"/>
      <c r="P98" s="377"/>
      <c r="Q98" s="384"/>
      <c r="R98" s="385"/>
      <c r="S98" s="385"/>
      <c r="T98" s="385"/>
      <c r="U98" s="385"/>
      <c r="V98" s="385"/>
      <c r="W98" s="385"/>
      <c r="X98" s="385"/>
      <c r="Y98" s="385"/>
      <c r="Z98" s="385"/>
      <c r="AA98" s="385"/>
      <c r="AB98" s="385"/>
      <c r="AC98" s="386"/>
      <c r="AD98" s="393"/>
      <c r="AE98" s="394"/>
      <c r="AF98" s="394"/>
      <c r="AG98" s="394"/>
      <c r="AH98" s="394"/>
      <c r="AI98" s="395"/>
      <c r="AK98" s="344"/>
    </row>
    <row r="99" spans="1:37" s="174" customFormat="1" ht="20.100000000000001" customHeight="1" x14ac:dyDescent="0.25">
      <c r="A99" s="230"/>
      <c r="B99" s="360"/>
      <c r="C99" s="361"/>
      <c r="D99" s="361"/>
      <c r="E99" s="361"/>
      <c r="F99" s="361"/>
      <c r="G99" s="361"/>
      <c r="H99" s="361"/>
      <c r="I99" s="362"/>
      <c r="J99" s="369"/>
      <c r="K99" s="370"/>
      <c r="L99" s="371"/>
      <c r="M99" s="378"/>
      <c r="N99" s="379"/>
      <c r="O99" s="379"/>
      <c r="P99" s="380"/>
      <c r="Q99" s="387"/>
      <c r="R99" s="388"/>
      <c r="S99" s="388"/>
      <c r="T99" s="388"/>
      <c r="U99" s="388"/>
      <c r="V99" s="388"/>
      <c r="W99" s="388"/>
      <c r="X99" s="388"/>
      <c r="Y99" s="388"/>
      <c r="Z99" s="388"/>
      <c r="AA99" s="388"/>
      <c r="AB99" s="388"/>
      <c r="AC99" s="389"/>
      <c r="AD99" s="396"/>
      <c r="AE99" s="397"/>
      <c r="AF99" s="397"/>
      <c r="AG99" s="397"/>
      <c r="AH99" s="397"/>
      <c r="AI99" s="398"/>
      <c r="AK99" s="345"/>
    </row>
    <row r="100" spans="1:37" s="174" customFormat="1" ht="20.100000000000001" customHeight="1" x14ac:dyDescent="0.25">
      <c r="A100" s="230"/>
      <c r="B100" s="360"/>
      <c r="C100" s="361"/>
      <c r="D100" s="361"/>
      <c r="E100" s="361"/>
      <c r="F100" s="361"/>
      <c r="G100" s="361"/>
      <c r="H100" s="361"/>
      <c r="I100" s="362"/>
      <c r="J100" s="369"/>
      <c r="K100" s="370"/>
      <c r="L100" s="371"/>
      <c r="M100" s="378"/>
      <c r="N100" s="379"/>
      <c r="O100" s="379"/>
      <c r="P100" s="380"/>
      <c r="Q100" s="387"/>
      <c r="R100" s="388"/>
      <c r="S100" s="388"/>
      <c r="T100" s="388"/>
      <c r="U100" s="388"/>
      <c r="V100" s="388"/>
      <c r="W100" s="388"/>
      <c r="X100" s="388"/>
      <c r="Y100" s="388"/>
      <c r="Z100" s="388"/>
      <c r="AA100" s="388"/>
      <c r="AB100" s="388"/>
      <c r="AC100" s="389"/>
      <c r="AD100" s="396"/>
      <c r="AE100" s="397"/>
      <c r="AF100" s="397"/>
      <c r="AG100" s="397"/>
      <c r="AH100" s="397"/>
      <c r="AI100" s="398"/>
      <c r="AK100" s="345"/>
    </row>
    <row r="101" spans="1:37" s="174" customFormat="1" ht="20.100000000000001" customHeight="1" x14ac:dyDescent="0.25">
      <c r="A101" s="230"/>
      <c r="B101" s="363"/>
      <c r="C101" s="364"/>
      <c r="D101" s="364"/>
      <c r="E101" s="364"/>
      <c r="F101" s="364"/>
      <c r="G101" s="364"/>
      <c r="H101" s="364"/>
      <c r="I101" s="365"/>
      <c r="J101" s="372"/>
      <c r="K101" s="373"/>
      <c r="L101" s="374"/>
      <c r="M101" s="381"/>
      <c r="N101" s="382"/>
      <c r="O101" s="382"/>
      <c r="P101" s="383"/>
      <c r="Q101" s="390"/>
      <c r="R101" s="391"/>
      <c r="S101" s="391"/>
      <c r="T101" s="391"/>
      <c r="U101" s="391"/>
      <c r="V101" s="391"/>
      <c r="W101" s="391"/>
      <c r="X101" s="391"/>
      <c r="Y101" s="391"/>
      <c r="Z101" s="391"/>
      <c r="AA101" s="391"/>
      <c r="AB101" s="391"/>
      <c r="AC101" s="392"/>
      <c r="AD101" s="399"/>
      <c r="AE101" s="400"/>
      <c r="AF101" s="400"/>
      <c r="AG101" s="400"/>
      <c r="AH101" s="400"/>
      <c r="AI101" s="401"/>
      <c r="AK101" s="346"/>
    </row>
    <row r="102" spans="1:37" s="174" customFormat="1" ht="20.100000000000001" customHeight="1" x14ac:dyDescent="0.25">
      <c r="A102" s="230"/>
      <c r="B102" s="402" t="s">
        <v>77</v>
      </c>
      <c r="C102" s="402"/>
      <c r="D102" s="402"/>
      <c r="E102" s="402"/>
      <c r="F102" s="402"/>
      <c r="G102" s="402"/>
      <c r="H102" s="402"/>
      <c r="I102" s="402"/>
      <c r="J102" s="402" t="s">
        <v>78</v>
      </c>
      <c r="K102" s="402"/>
      <c r="L102" s="402"/>
      <c r="M102" s="402"/>
      <c r="N102" s="402"/>
      <c r="O102" s="402"/>
      <c r="P102" s="402"/>
      <c r="Q102" s="403" t="s">
        <v>79</v>
      </c>
      <c r="R102" s="404"/>
      <c r="S102" s="404"/>
      <c r="T102" s="404"/>
      <c r="U102" s="404"/>
      <c r="V102" s="404"/>
      <c r="W102" s="404"/>
      <c r="X102" s="404"/>
      <c r="Y102" s="404"/>
      <c r="Z102" s="404"/>
      <c r="AA102" s="404"/>
      <c r="AB102" s="404"/>
      <c r="AC102" s="405"/>
      <c r="AD102" s="402" t="s">
        <v>80</v>
      </c>
      <c r="AE102" s="402"/>
      <c r="AF102" s="402"/>
      <c r="AG102" s="402"/>
      <c r="AH102" s="402"/>
      <c r="AI102" s="402"/>
      <c r="AK102" s="347" t="s">
        <v>227</v>
      </c>
    </row>
    <row r="103" spans="1:37" s="174" customFormat="1" ht="20.100000000000001" customHeight="1" x14ac:dyDescent="0.25">
      <c r="A103" s="230"/>
      <c r="B103" s="402"/>
      <c r="C103" s="402"/>
      <c r="D103" s="402"/>
      <c r="E103" s="402"/>
      <c r="F103" s="402"/>
      <c r="G103" s="402"/>
      <c r="H103" s="402"/>
      <c r="I103" s="402"/>
      <c r="J103" s="409" t="s">
        <v>237</v>
      </c>
      <c r="K103" s="409"/>
      <c r="L103" s="409"/>
      <c r="M103" s="409" t="s">
        <v>238</v>
      </c>
      <c r="N103" s="409"/>
      <c r="O103" s="409"/>
      <c r="P103" s="409"/>
      <c r="Q103" s="406"/>
      <c r="R103" s="407"/>
      <c r="S103" s="407"/>
      <c r="T103" s="407"/>
      <c r="U103" s="407"/>
      <c r="V103" s="407"/>
      <c r="W103" s="407"/>
      <c r="X103" s="407"/>
      <c r="Y103" s="407"/>
      <c r="Z103" s="407"/>
      <c r="AA103" s="407"/>
      <c r="AB103" s="407"/>
      <c r="AC103" s="408"/>
      <c r="AD103" s="402"/>
      <c r="AE103" s="402"/>
      <c r="AF103" s="402"/>
      <c r="AG103" s="402"/>
      <c r="AH103" s="402"/>
      <c r="AI103" s="402"/>
      <c r="AK103" s="348"/>
    </row>
    <row r="104" spans="1:37" s="174" customFormat="1" ht="20.100000000000001" customHeight="1" x14ac:dyDescent="0.25">
      <c r="A104" s="230"/>
      <c r="B104" s="357"/>
      <c r="C104" s="358"/>
      <c r="D104" s="358"/>
      <c r="E104" s="358"/>
      <c r="F104" s="358"/>
      <c r="G104" s="358"/>
      <c r="H104" s="358"/>
      <c r="I104" s="359"/>
      <c r="J104" s="366"/>
      <c r="K104" s="367"/>
      <c r="L104" s="368"/>
      <c r="M104" s="375"/>
      <c r="N104" s="376"/>
      <c r="O104" s="376"/>
      <c r="P104" s="377"/>
      <c r="Q104" s="384"/>
      <c r="R104" s="385"/>
      <c r="S104" s="385"/>
      <c r="T104" s="385"/>
      <c r="U104" s="385"/>
      <c r="V104" s="385"/>
      <c r="W104" s="385"/>
      <c r="X104" s="385"/>
      <c r="Y104" s="385"/>
      <c r="Z104" s="385"/>
      <c r="AA104" s="385"/>
      <c r="AB104" s="385"/>
      <c r="AC104" s="386"/>
      <c r="AD104" s="393"/>
      <c r="AE104" s="394"/>
      <c r="AF104" s="394"/>
      <c r="AG104" s="394"/>
      <c r="AH104" s="394"/>
      <c r="AI104" s="395"/>
      <c r="AK104" s="344"/>
    </row>
    <row r="105" spans="1:37" s="174" customFormat="1" ht="20.100000000000001" customHeight="1" x14ac:dyDescent="0.25">
      <c r="A105" s="230"/>
      <c r="B105" s="360"/>
      <c r="C105" s="361"/>
      <c r="D105" s="361"/>
      <c r="E105" s="361"/>
      <c r="F105" s="361"/>
      <c r="G105" s="361"/>
      <c r="H105" s="361"/>
      <c r="I105" s="362"/>
      <c r="J105" s="369"/>
      <c r="K105" s="370"/>
      <c r="L105" s="371"/>
      <c r="M105" s="378"/>
      <c r="N105" s="379"/>
      <c r="O105" s="379"/>
      <c r="P105" s="380"/>
      <c r="Q105" s="387"/>
      <c r="R105" s="388"/>
      <c r="S105" s="388"/>
      <c r="T105" s="388"/>
      <c r="U105" s="388"/>
      <c r="V105" s="388"/>
      <c r="W105" s="388"/>
      <c r="X105" s="388"/>
      <c r="Y105" s="388"/>
      <c r="Z105" s="388"/>
      <c r="AA105" s="388"/>
      <c r="AB105" s="388"/>
      <c r="AC105" s="389"/>
      <c r="AD105" s="396"/>
      <c r="AE105" s="397"/>
      <c r="AF105" s="397"/>
      <c r="AG105" s="397"/>
      <c r="AH105" s="397"/>
      <c r="AI105" s="398"/>
      <c r="AK105" s="345"/>
    </row>
    <row r="106" spans="1:37" s="174" customFormat="1" ht="20.100000000000001" customHeight="1" x14ac:dyDescent="0.25">
      <c r="A106" s="230"/>
      <c r="B106" s="360"/>
      <c r="C106" s="361"/>
      <c r="D106" s="361"/>
      <c r="E106" s="361"/>
      <c r="F106" s="361"/>
      <c r="G106" s="361"/>
      <c r="H106" s="361"/>
      <c r="I106" s="362"/>
      <c r="J106" s="369"/>
      <c r="K106" s="370"/>
      <c r="L106" s="371"/>
      <c r="M106" s="378"/>
      <c r="N106" s="379"/>
      <c r="O106" s="379"/>
      <c r="P106" s="380"/>
      <c r="Q106" s="387"/>
      <c r="R106" s="388"/>
      <c r="S106" s="388"/>
      <c r="T106" s="388"/>
      <c r="U106" s="388"/>
      <c r="V106" s="388"/>
      <c r="W106" s="388"/>
      <c r="X106" s="388"/>
      <c r="Y106" s="388"/>
      <c r="Z106" s="388"/>
      <c r="AA106" s="388"/>
      <c r="AB106" s="388"/>
      <c r="AC106" s="389"/>
      <c r="AD106" s="396"/>
      <c r="AE106" s="397"/>
      <c r="AF106" s="397"/>
      <c r="AG106" s="397"/>
      <c r="AH106" s="397"/>
      <c r="AI106" s="398"/>
      <c r="AK106" s="345"/>
    </row>
    <row r="107" spans="1:37" s="174" customFormat="1" ht="20.100000000000001" customHeight="1" x14ac:dyDescent="0.25">
      <c r="A107" s="230"/>
      <c r="B107" s="363"/>
      <c r="C107" s="364"/>
      <c r="D107" s="364"/>
      <c r="E107" s="364"/>
      <c r="F107" s="364"/>
      <c r="G107" s="364"/>
      <c r="H107" s="364"/>
      <c r="I107" s="365"/>
      <c r="J107" s="372"/>
      <c r="K107" s="373"/>
      <c r="L107" s="374"/>
      <c r="M107" s="381"/>
      <c r="N107" s="382"/>
      <c r="O107" s="382"/>
      <c r="P107" s="383"/>
      <c r="Q107" s="390"/>
      <c r="R107" s="391"/>
      <c r="S107" s="391"/>
      <c r="T107" s="391"/>
      <c r="U107" s="391"/>
      <c r="V107" s="391"/>
      <c r="W107" s="391"/>
      <c r="X107" s="391"/>
      <c r="Y107" s="391"/>
      <c r="Z107" s="391"/>
      <c r="AA107" s="391"/>
      <c r="AB107" s="391"/>
      <c r="AC107" s="392"/>
      <c r="AD107" s="399"/>
      <c r="AE107" s="400"/>
      <c r="AF107" s="400"/>
      <c r="AG107" s="400"/>
      <c r="AH107" s="400"/>
      <c r="AI107" s="401"/>
      <c r="AK107" s="346"/>
    </row>
    <row r="108" spans="1:37" s="174" customFormat="1" ht="20.100000000000001" customHeight="1" x14ac:dyDescent="0.25">
      <c r="A108" s="230"/>
      <c r="B108" s="158"/>
      <c r="C108" s="158"/>
      <c r="D108" s="158"/>
      <c r="E108" s="158"/>
      <c r="F108" s="158"/>
      <c r="G108" s="158"/>
      <c r="H108" s="158"/>
      <c r="I108" s="158"/>
      <c r="J108" s="176"/>
      <c r="K108" s="176"/>
      <c r="L108" s="176"/>
      <c r="M108" s="177"/>
      <c r="N108" s="177"/>
      <c r="O108" s="177"/>
      <c r="P108" s="177"/>
      <c r="Q108" s="178"/>
      <c r="R108" s="178"/>
      <c r="S108" s="178"/>
      <c r="T108" s="178"/>
      <c r="U108" s="178"/>
      <c r="V108" s="178"/>
      <c r="W108" s="176"/>
      <c r="X108" s="176"/>
      <c r="Y108" s="176"/>
      <c r="Z108" s="177"/>
      <c r="AA108" s="177"/>
      <c r="AB108" s="177"/>
      <c r="AC108" s="177"/>
      <c r="AD108" s="158"/>
      <c r="AE108" s="158"/>
      <c r="AF108" s="158"/>
      <c r="AG108" s="158"/>
      <c r="AH108" s="158"/>
      <c r="AI108" s="158"/>
      <c r="AK108" s="208"/>
    </row>
    <row r="109" spans="1:37" s="174" customFormat="1" ht="20.100000000000001" customHeight="1" x14ac:dyDescent="0.25">
      <c r="A109" s="230"/>
      <c r="B109" s="158"/>
      <c r="C109" s="158"/>
      <c r="D109" s="158"/>
      <c r="E109" s="158"/>
      <c r="F109" s="158"/>
      <c r="G109" s="158"/>
      <c r="H109" s="158"/>
      <c r="I109" s="158"/>
      <c r="J109" s="176"/>
      <c r="K109" s="176"/>
      <c r="L109" s="176"/>
      <c r="M109" s="177"/>
      <c r="N109" s="177"/>
      <c r="O109" s="177"/>
      <c r="P109" s="177"/>
      <c r="Q109" s="178"/>
      <c r="R109" s="178"/>
      <c r="S109" s="178"/>
      <c r="T109" s="178"/>
      <c r="U109" s="178"/>
      <c r="V109" s="178"/>
      <c r="W109" s="176"/>
      <c r="X109" s="176"/>
      <c r="Y109" s="176"/>
      <c r="Z109" s="177"/>
      <c r="AA109" s="177"/>
      <c r="AB109" s="177"/>
      <c r="AC109" s="177"/>
      <c r="AD109" s="158"/>
      <c r="AE109" s="158"/>
      <c r="AF109" s="158"/>
      <c r="AG109" s="158"/>
      <c r="AH109" s="158"/>
      <c r="AI109" s="158"/>
      <c r="AK109" s="208"/>
    </row>
    <row r="110" spans="1:37" s="174" customFormat="1" ht="20.100000000000001" customHeight="1" x14ac:dyDescent="0.25">
      <c r="A110" s="230"/>
      <c r="B110" s="158"/>
      <c r="C110" s="158"/>
      <c r="D110" s="158"/>
      <c r="E110" s="158"/>
      <c r="F110" s="158"/>
      <c r="G110" s="158"/>
      <c r="H110" s="158"/>
      <c r="I110" s="158"/>
      <c r="J110" s="176"/>
      <c r="K110" s="176"/>
      <c r="L110" s="176"/>
      <c r="M110" s="177"/>
      <c r="N110" s="177"/>
      <c r="O110" s="177"/>
      <c r="P110" s="177"/>
      <c r="Q110" s="178"/>
      <c r="R110" s="178"/>
      <c r="S110" s="178"/>
      <c r="T110" s="178"/>
      <c r="U110" s="178"/>
      <c r="V110" s="178"/>
      <c r="W110" s="176"/>
      <c r="X110" s="176"/>
      <c r="Y110" s="176"/>
      <c r="Z110" s="177"/>
      <c r="AA110" s="177"/>
      <c r="AB110" s="177"/>
      <c r="AC110" s="177"/>
      <c r="AD110" s="158"/>
      <c r="AE110" s="158"/>
      <c r="AF110" s="158"/>
      <c r="AG110" s="158"/>
      <c r="AH110" s="158"/>
      <c r="AI110" s="158"/>
      <c r="AK110" s="208"/>
    </row>
    <row r="111" spans="1:37" ht="18" x14ac:dyDescent="0.35">
      <c r="B111" s="397" t="s">
        <v>81</v>
      </c>
      <c r="C111" s="397"/>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row>
    <row r="112" spans="1:37" ht="18" x14ac:dyDescent="0.35"/>
    <row r="113" spans="1:37" ht="18" x14ac:dyDescent="0.35"/>
    <row r="114" spans="1:37" ht="18" x14ac:dyDescent="0.35"/>
    <row r="115" spans="1:37" ht="18" x14ac:dyDescent="0.35"/>
    <row r="116" spans="1:37" ht="18" x14ac:dyDescent="0.35"/>
    <row r="117" spans="1:37" ht="18" x14ac:dyDescent="0.35"/>
    <row r="118" spans="1:37" ht="18" x14ac:dyDescent="0.35"/>
    <row r="119" spans="1:37" ht="18" x14ac:dyDescent="0.35"/>
    <row r="120" spans="1:37" ht="18" x14ac:dyDescent="0.35"/>
    <row r="121" spans="1:37" ht="18" x14ac:dyDescent="0.35"/>
    <row r="122" spans="1:37" ht="18" x14ac:dyDescent="0.35">
      <c r="A122" s="231"/>
      <c r="B122" s="179"/>
      <c r="C122" s="179"/>
      <c r="D122" s="179"/>
      <c r="E122" s="179"/>
      <c r="F122" s="179"/>
      <c r="G122" s="179"/>
    </row>
    <row r="123" spans="1:37" ht="18" x14ac:dyDescent="0.35"/>
    <row r="124" spans="1:37" s="174" customFormat="1" ht="18" x14ac:dyDescent="0.25">
      <c r="A124" s="230"/>
      <c r="AK124" s="208"/>
    </row>
    <row r="125" spans="1:37" s="174" customFormat="1" ht="18" x14ac:dyDescent="0.25">
      <c r="A125" s="230"/>
      <c r="AK125" s="208"/>
    </row>
    <row r="126" spans="1:37" s="174" customFormat="1" ht="18" x14ac:dyDescent="0.25">
      <c r="A126" s="230"/>
      <c r="AK126" s="208"/>
    </row>
    <row r="127" spans="1:37" s="174" customFormat="1" ht="18" x14ac:dyDescent="0.25">
      <c r="A127" s="230"/>
      <c r="AK127" s="208"/>
    </row>
    <row r="128" spans="1:37" s="174" customFormat="1" ht="18" x14ac:dyDescent="0.25">
      <c r="A128" s="230"/>
      <c r="AK128" s="208"/>
    </row>
    <row r="129" spans="1:37" s="174" customFormat="1" ht="18" x14ac:dyDescent="0.25">
      <c r="A129" s="230"/>
      <c r="AK129" s="208"/>
    </row>
    <row r="130" spans="1:37" s="174" customFormat="1" ht="18" x14ac:dyDescent="0.25">
      <c r="A130" s="230"/>
      <c r="AK130" s="208"/>
    </row>
    <row r="131" spans="1:37" s="174" customFormat="1" ht="18" x14ac:dyDescent="0.25">
      <c r="A131" s="230"/>
      <c r="AK131" s="208"/>
    </row>
    <row r="132" spans="1:37" s="174" customFormat="1" ht="18" x14ac:dyDescent="0.25">
      <c r="A132" s="230"/>
      <c r="AK132" s="208"/>
    </row>
    <row r="133" spans="1:37" s="174" customFormat="1" ht="18" x14ac:dyDescent="0.25">
      <c r="A133" s="230"/>
      <c r="AK133" s="208"/>
    </row>
    <row r="134" spans="1:37" s="174" customFormat="1" ht="18" x14ac:dyDescent="0.25">
      <c r="A134" s="230"/>
      <c r="AK134" s="208"/>
    </row>
    <row r="135" spans="1:37" s="174" customFormat="1" ht="18" x14ac:dyDescent="0.25">
      <c r="A135" s="230"/>
      <c r="AK135" s="208"/>
    </row>
    <row r="136" spans="1:37" s="174" customFormat="1" ht="18" x14ac:dyDescent="0.25">
      <c r="A136" s="230"/>
      <c r="AK136" s="208"/>
    </row>
    <row r="137" spans="1:37" s="174" customFormat="1" ht="18" x14ac:dyDescent="0.25">
      <c r="A137" s="230"/>
      <c r="AK137" s="208"/>
    </row>
    <row r="138" spans="1:37" s="174" customFormat="1" ht="18" x14ac:dyDescent="0.25">
      <c r="A138" s="230"/>
      <c r="AK138" s="208"/>
    </row>
    <row r="139" spans="1:37" s="174" customFormat="1" ht="18" x14ac:dyDescent="0.25">
      <c r="A139" s="230"/>
      <c r="AK139" s="208"/>
    </row>
    <row r="140" spans="1:37" s="174" customFormat="1" ht="18" x14ac:dyDescent="0.25">
      <c r="A140" s="230"/>
      <c r="AK140" s="208"/>
    </row>
    <row r="141" spans="1:37" s="174" customFormat="1" ht="18" x14ac:dyDescent="0.25">
      <c r="A141" s="230"/>
      <c r="AK141" s="208"/>
    </row>
    <row r="142" spans="1:37" s="174" customFormat="1" ht="18" x14ac:dyDescent="0.25">
      <c r="A142" s="230"/>
      <c r="AK142" s="208"/>
    </row>
    <row r="143" spans="1:37" s="174" customFormat="1" ht="18" x14ac:dyDescent="0.25">
      <c r="A143" s="230"/>
      <c r="AK143" s="208"/>
    </row>
    <row r="144" spans="1:37" s="174" customFormat="1" ht="18" x14ac:dyDescent="0.25">
      <c r="A144" s="230"/>
      <c r="AK144" s="208"/>
    </row>
    <row r="145" spans="1:37" s="174" customFormat="1" ht="18" x14ac:dyDescent="0.25">
      <c r="A145" s="230"/>
      <c r="AK145" s="208"/>
    </row>
    <row r="146" spans="1:37" s="174" customFormat="1" ht="18" x14ac:dyDescent="0.25">
      <c r="A146" s="230"/>
      <c r="AK146" s="208"/>
    </row>
    <row r="147" spans="1:37" s="174" customFormat="1" ht="18" x14ac:dyDescent="0.25">
      <c r="A147" s="230"/>
      <c r="AK147" s="208"/>
    </row>
    <row r="148" spans="1:37" s="174" customFormat="1" ht="18" x14ac:dyDescent="0.25">
      <c r="A148" s="230"/>
      <c r="AK148" s="208"/>
    </row>
    <row r="149" spans="1:37" s="174" customFormat="1" ht="18" x14ac:dyDescent="0.25">
      <c r="A149" s="230"/>
      <c r="AK149" s="208"/>
    </row>
    <row r="150" spans="1:37" s="174" customFormat="1" ht="18" x14ac:dyDescent="0.25">
      <c r="A150" s="230"/>
      <c r="AK150" s="208"/>
    </row>
    <row r="151" spans="1:37" s="174" customFormat="1" ht="18" x14ac:dyDescent="0.25">
      <c r="A151" s="230"/>
      <c r="AK151" s="208"/>
    </row>
    <row r="152" spans="1:37" s="174" customFormat="1" ht="18" x14ac:dyDescent="0.25">
      <c r="A152" s="230"/>
      <c r="AK152" s="208"/>
    </row>
    <row r="153" spans="1:37" s="174" customFormat="1" ht="18" x14ac:dyDescent="0.25">
      <c r="A153" s="230"/>
      <c r="AK153" s="208"/>
    </row>
    <row r="154" spans="1:37" s="174" customFormat="1" ht="18" x14ac:dyDescent="0.25">
      <c r="A154" s="230"/>
      <c r="AK154" s="208"/>
    </row>
    <row r="155" spans="1:37" ht="18" x14ac:dyDescent="0.35"/>
    <row r="156" spans="1:37" ht="18" x14ac:dyDescent="0.35"/>
    <row r="157" spans="1:37" ht="18" x14ac:dyDescent="0.35"/>
  </sheetData>
  <mergeCells count="229">
    <mergeCell ref="B102:I103"/>
    <mergeCell ref="J102:P102"/>
    <mergeCell ref="Q102:AC103"/>
    <mergeCell ref="AD102:AI103"/>
    <mergeCell ref="AK102:AK103"/>
    <mergeCell ref="J103:L103"/>
    <mergeCell ref="M103:P103"/>
    <mergeCell ref="B104:I107"/>
    <mergeCell ref="J104:L107"/>
    <mergeCell ref="M104:P107"/>
    <mergeCell ref="Q104:AC107"/>
    <mergeCell ref="AD104:AI107"/>
    <mergeCell ref="AK104:AK107"/>
    <mergeCell ref="B96:I97"/>
    <mergeCell ref="J96:P96"/>
    <mergeCell ref="Q96:AC97"/>
    <mergeCell ref="AD96:AI97"/>
    <mergeCell ref="AK96:AK97"/>
    <mergeCell ref="J97:L97"/>
    <mergeCell ref="M97:P97"/>
    <mergeCell ref="B98:I101"/>
    <mergeCell ref="J98:L101"/>
    <mergeCell ref="M98:P101"/>
    <mergeCell ref="Q98:AC101"/>
    <mergeCell ref="AD98:AI101"/>
    <mergeCell ref="AK98:AK101"/>
    <mergeCell ref="AD90:AI91"/>
    <mergeCell ref="AK90:AK91"/>
    <mergeCell ref="J91:L91"/>
    <mergeCell ref="M91:P91"/>
    <mergeCell ref="B92:I95"/>
    <mergeCell ref="J92:L95"/>
    <mergeCell ref="M92:P95"/>
    <mergeCell ref="Q92:AC95"/>
    <mergeCell ref="AD92:AI95"/>
    <mergeCell ref="AK92:AK95"/>
    <mergeCell ref="AK84:AK85"/>
    <mergeCell ref="J85:L85"/>
    <mergeCell ref="M85:P85"/>
    <mergeCell ref="B86:I89"/>
    <mergeCell ref="J86:L89"/>
    <mergeCell ref="M86:P89"/>
    <mergeCell ref="Q86:AC89"/>
    <mergeCell ref="AD86:AI89"/>
    <mergeCell ref="AK86:AK89"/>
    <mergeCell ref="B111:AI111"/>
    <mergeCell ref="M79:P79"/>
    <mergeCell ref="B80:I83"/>
    <mergeCell ref="J80:L83"/>
    <mergeCell ref="M80:P83"/>
    <mergeCell ref="Q80:AC83"/>
    <mergeCell ref="AD80:AI83"/>
    <mergeCell ref="B74:I77"/>
    <mergeCell ref="J74:L77"/>
    <mergeCell ref="M74:P77"/>
    <mergeCell ref="Q74:AC77"/>
    <mergeCell ref="AD74:AI77"/>
    <mergeCell ref="B78:I79"/>
    <mergeCell ref="J78:P78"/>
    <mergeCell ref="Q78:AC79"/>
    <mergeCell ref="AD78:AI79"/>
    <mergeCell ref="J79:L79"/>
    <mergeCell ref="B84:I85"/>
    <mergeCell ref="J84:P84"/>
    <mergeCell ref="Q84:AC85"/>
    <mergeCell ref="AD84:AI85"/>
    <mergeCell ref="B90:I91"/>
    <mergeCell ref="J90:P90"/>
    <mergeCell ref="Q90:AC91"/>
    <mergeCell ref="B72:I73"/>
    <mergeCell ref="J72:P72"/>
    <mergeCell ref="Q72:AC73"/>
    <mergeCell ref="AD72:AI73"/>
    <mergeCell ref="J73:L73"/>
    <mergeCell ref="M73:P73"/>
    <mergeCell ref="M67:P67"/>
    <mergeCell ref="B68:I71"/>
    <mergeCell ref="J68:L71"/>
    <mergeCell ref="M68:P71"/>
    <mergeCell ref="Q68:AC71"/>
    <mergeCell ref="AD68:AI71"/>
    <mergeCell ref="B62:I65"/>
    <mergeCell ref="J62:L65"/>
    <mergeCell ref="M62:P65"/>
    <mergeCell ref="Q62:AC65"/>
    <mergeCell ref="AD62:AI65"/>
    <mergeCell ref="B66:I67"/>
    <mergeCell ref="J66:P66"/>
    <mergeCell ref="Q66:AC67"/>
    <mergeCell ref="AD66:AI67"/>
    <mergeCell ref="J67:L67"/>
    <mergeCell ref="B60:I61"/>
    <mergeCell ref="J60:P60"/>
    <mergeCell ref="Q60:AC61"/>
    <mergeCell ref="AD60:AI61"/>
    <mergeCell ref="J61:L61"/>
    <mergeCell ref="M61:P61"/>
    <mergeCell ref="M55:P55"/>
    <mergeCell ref="B56:I59"/>
    <mergeCell ref="J56:L59"/>
    <mergeCell ref="M56:P59"/>
    <mergeCell ref="Q56:AC59"/>
    <mergeCell ref="AD56:AI59"/>
    <mergeCell ref="B50:I53"/>
    <mergeCell ref="J50:L53"/>
    <mergeCell ref="M50:P53"/>
    <mergeCell ref="Q50:AC53"/>
    <mergeCell ref="AD50:AI53"/>
    <mergeCell ref="B54:I55"/>
    <mergeCell ref="J54:P54"/>
    <mergeCell ref="Q54:AC55"/>
    <mergeCell ref="AD54:AI55"/>
    <mergeCell ref="J55:L55"/>
    <mergeCell ref="B48:I49"/>
    <mergeCell ref="J48:P48"/>
    <mergeCell ref="Q48:AC49"/>
    <mergeCell ref="AD48:AI49"/>
    <mergeCell ref="J49:L49"/>
    <mergeCell ref="M49:P49"/>
    <mergeCell ref="M43:P43"/>
    <mergeCell ref="B44:I47"/>
    <mergeCell ref="J44:L47"/>
    <mergeCell ref="M44:P47"/>
    <mergeCell ref="Q44:AC47"/>
    <mergeCell ref="AD44:AI47"/>
    <mergeCell ref="B38:I41"/>
    <mergeCell ref="J38:L41"/>
    <mergeCell ref="M38:P41"/>
    <mergeCell ref="Q38:AC41"/>
    <mergeCell ref="AD38:AI41"/>
    <mergeCell ref="B42:I43"/>
    <mergeCell ref="J42:P42"/>
    <mergeCell ref="Q42:AC43"/>
    <mergeCell ref="AD42:AI43"/>
    <mergeCell ref="J43:L43"/>
    <mergeCell ref="B36:I37"/>
    <mergeCell ref="J36:P36"/>
    <mergeCell ref="Q36:AC37"/>
    <mergeCell ref="AD36:AI37"/>
    <mergeCell ref="J37:L37"/>
    <mergeCell ref="M37:P37"/>
    <mergeCell ref="M31:P31"/>
    <mergeCell ref="B32:I35"/>
    <mergeCell ref="J32:L35"/>
    <mergeCell ref="M32:P35"/>
    <mergeCell ref="Q32:AC35"/>
    <mergeCell ref="AD32:AI35"/>
    <mergeCell ref="B26:I29"/>
    <mergeCell ref="J26:L29"/>
    <mergeCell ref="M26:P29"/>
    <mergeCell ref="Q26:AC29"/>
    <mergeCell ref="AD26:AI29"/>
    <mergeCell ref="B30:I31"/>
    <mergeCell ref="J30:P30"/>
    <mergeCell ref="Q30:AC31"/>
    <mergeCell ref="AD30:AI31"/>
    <mergeCell ref="J31:L31"/>
    <mergeCell ref="J24:P24"/>
    <mergeCell ref="Q24:AC25"/>
    <mergeCell ref="AD24:AI25"/>
    <mergeCell ref="J25:L25"/>
    <mergeCell ref="M25:P25"/>
    <mergeCell ref="M19:P19"/>
    <mergeCell ref="B20:I23"/>
    <mergeCell ref="J20:L23"/>
    <mergeCell ref="M20:P23"/>
    <mergeCell ref="Q20:AC23"/>
    <mergeCell ref="AD20:AI23"/>
    <mergeCell ref="B2:I7"/>
    <mergeCell ref="J2:AB7"/>
    <mergeCell ref="AC2:AE3"/>
    <mergeCell ref="AF2:AI3"/>
    <mergeCell ref="AC4:AE5"/>
    <mergeCell ref="AF4:AI5"/>
    <mergeCell ref="AC6:AE7"/>
    <mergeCell ref="AF6:AI7"/>
    <mergeCell ref="B12:I13"/>
    <mergeCell ref="J12:P12"/>
    <mergeCell ref="Q12:AC13"/>
    <mergeCell ref="AD12:AI13"/>
    <mergeCell ref="J13:L13"/>
    <mergeCell ref="M13:P13"/>
    <mergeCell ref="B10:F10"/>
    <mergeCell ref="G10:K10"/>
    <mergeCell ref="L10:Q10"/>
    <mergeCell ref="R10:Y10"/>
    <mergeCell ref="Z10:AB10"/>
    <mergeCell ref="AC10:AI10"/>
    <mergeCell ref="AK12:AK13"/>
    <mergeCell ref="AK18:AK19"/>
    <mergeCell ref="AK24:AK25"/>
    <mergeCell ref="AK30:AK31"/>
    <mergeCell ref="AK36:AK37"/>
    <mergeCell ref="AK42:AK43"/>
    <mergeCell ref="AK48:AK49"/>
    <mergeCell ref="B9:F9"/>
    <mergeCell ref="G9:K9"/>
    <mergeCell ref="L9:Q9"/>
    <mergeCell ref="R9:Y9"/>
    <mergeCell ref="Z9:AB9"/>
    <mergeCell ref="AC9:AI9"/>
    <mergeCell ref="B14:I17"/>
    <mergeCell ref="J14:L17"/>
    <mergeCell ref="M14:P17"/>
    <mergeCell ref="Q14:AC17"/>
    <mergeCell ref="AD14:AI17"/>
    <mergeCell ref="B18:I19"/>
    <mergeCell ref="J18:P18"/>
    <mergeCell ref="Q18:AC19"/>
    <mergeCell ref="AD18:AI19"/>
    <mergeCell ref="J19:L19"/>
    <mergeCell ref="B24:I25"/>
    <mergeCell ref="AK74:AK77"/>
    <mergeCell ref="AK78:AK79"/>
    <mergeCell ref="AK80:AK83"/>
    <mergeCell ref="AK54:AK55"/>
    <mergeCell ref="AK60:AK61"/>
    <mergeCell ref="AK66:AK67"/>
    <mergeCell ref="AK72:AK73"/>
    <mergeCell ref="AK14:AK17"/>
    <mergeCell ref="AK20:AK23"/>
    <mergeCell ref="AK26:AK29"/>
    <mergeCell ref="AK32:AK35"/>
    <mergeCell ref="AK38:AK41"/>
    <mergeCell ref="AK44:AK47"/>
    <mergeCell ref="AK50:AK53"/>
    <mergeCell ref="AK56:AK59"/>
    <mergeCell ref="AK62:AK65"/>
    <mergeCell ref="AK68:AK71"/>
  </mergeCells>
  <conditionalFormatting sqref="AS41:AS47">
    <cfRule type="colorScale" priority="1">
      <colorScale>
        <cfvo type="min"/>
        <cfvo type="percentile" val="50"/>
        <cfvo type="max"/>
        <color rgb="FFF8696B"/>
        <color rgb="FFFFEB84"/>
        <color rgb="FF63BE7B"/>
      </colorScale>
    </cfRule>
  </conditionalFormatting>
  <pageMargins left="0.7" right="0.7" top="0.75" bottom="0.75" header="0.3" footer="0.3"/>
  <pageSetup paperSize="9"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23"/>
  <sheetViews>
    <sheetView showGridLines="0" zoomScale="136" zoomScaleNormal="136" workbookViewId="0">
      <pane ySplit="1" topLeftCell="A2" activePane="bottomLeft" state="frozen"/>
      <selection pane="bottomLeft" activeCell="D3" sqref="D3"/>
    </sheetView>
  </sheetViews>
  <sheetFormatPr baseColWidth="10" defaultColWidth="11.42578125" defaultRowHeight="15" x14ac:dyDescent="0.25"/>
  <cols>
    <col min="1" max="1" width="5.28515625" customWidth="1"/>
    <col min="2" max="2" width="59.42578125" style="22" customWidth="1"/>
    <col min="5" max="5" width="24.5703125" style="219" bestFit="1" customWidth="1"/>
  </cols>
  <sheetData>
    <row r="1" spans="2:5" ht="34.5" customHeight="1" x14ac:dyDescent="0.25">
      <c r="B1" s="477" t="s">
        <v>232</v>
      </c>
      <c r="C1" s="478"/>
      <c r="D1" s="478"/>
      <c r="E1" s="479"/>
    </row>
    <row r="2" spans="2:5" x14ac:dyDescent="0.25">
      <c r="B2" s="36" t="s">
        <v>67</v>
      </c>
      <c r="C2" s="37" t="s">
        <v>65</v>
      </c>
      <c r="D2" s="37" t="s">
        <v>5</v>
      </c>
      <c r="E2" s="221" t="s">
        <v>170</v>
      </c>
    </row>
    <row r="3" spans="2:5" x14ac:dyDescent="0.25">
      <c r="B3" s="33" t="s">
        <v>87</v>
      </c>
      <c r="C3" s="23">
        <f>+SUM(C4:C7)</f>
        <v>1773</v>
      </c>
      <c r="D3" s="23">
        <f>+SUM(D4:D7)</f>
        <v>7</v>
      </c>
      <c r="E3" s="222">
        <f>+IFERROR(C3/SUM(C3:D3)," ")</f>
        <v>0.99606741573033708</v>
      </c>
    </row>
    <row r="4" spans="2:5" x14ac:dyDescent="0.25">
      <c r="B4" s="20" t="s">
        <v>112</v>
      </c>
      <c r="C4" s="21">
        <f>+COUNTIF('Score BD'!M:M,"SI")</f>
        <v>444</v>
      </c>
      <c r="D4" s="21">
        <f>+COUNTIF('Score BD'!M:M,"NO")</f>
        <v>1</v>
      </c>
      <c r="E4" s="223">
        <f>+IFERROR(C4/SUM(C4:D4)," ")</f>
        <v>0.99775280898876406</v>
      </c>
    </row>
    <row r="5" spans="2:5" x14ac:dyDescent="0.25">
      <c r="B5" s="20" t="s">
        <v>114</v>
      </c>
      <c r="C5" s="21">
        <f>+COUNTIF('Score BD'!N:N,"SI")</f>
        <v>440</v>
      </c>
      <c r="D5" s="21">
        <f>+COUNTIF('Score BD'!N:N,"NO")</f>
        <v>5</v>
      </c>
      <c r="E5" s="223">
        <f t="shared" ref="E5:E7" si="0">+IFERROR(C5/SUM(C5:D5)," ")</f>
        <v>0.9887640449438202</v>
      </c>
    </row>
    <row r="6" spans="2:5" x14ac:dyDescent="0.25">
      <c r="B6" s="34" t="s">
        <v>115</v>
      </c>
      <c r="C6" s="21">
        <f>+COUNTIF('Score BD'!O:O,"SI")</f>
        <v>445</v>
      </c>
      <c r="D6" s="21">
        <f>+COUNTIF('Score BD'!O:O,"NO")</f>
        <v>0</v>
      </c>
      <c r="E6" s="223">
        <f t="shared" si="0"/>
        <v>1</v>
      </c>
    </row>
    <row r="7" spans="2:5" x14ac:dyDescent="0.25">
      <c r="B7" s="20" t="s">
        <v>96</v>
      </c>
      <c r="C7" s="21">
        <f>+COUNTIF('Score BD'!P:P,"SI")</f>
        <v>444</v>
      </c>
      <c r="D7" s="21">
        <f>+COUNTIF('Score BD'!P:P,"NO")</f>
        <v>1</v>
      </c>
      <c r="E7" s="223">
        <f t="shared" si="0"/>
        <v>0.99775280898876406</v>
      </c>
    </row>
    <row r="8" spans="2:5" x14ac:dyDescent="0.25">
      <c r="B8" s="33" t="s">
        <v>86</v>
      </c>
      <c r="C8" s="23">
        <f>+SUM(C9:C12)</f>
        <v>1776</v>
      </c>
      <c r="D8" s="23">
        <f>+SUM(D9:D12)</f>
        <v>4</v>
      </c>
      <c r="E8" s="222">
        <f>+IFERROR(C8/SUM(C8:D8)," ")</f>
        <v>0.99775280898876406</v>
      </c>
    </row>
    <row r="9" spans="2:5" x14ac:dyDescent="0.25">
      <c r="B9" s="20" t="s">
        <v>97</v>
      </c>
      <c r="C9" s="21">
        <f>+COUNTIF('Score BD'!R:R,"SI")</f>
        <v>445</v>
      </c>
      <c r="D9" s="21">
        <f>+COUNTIF('Score BD'!R:R,"NO")</f>
        <v>0</v>
      </c>
      <c r="E9" s="223">
        <f t="shared" ref="E9" si="1">+IFERROR(C9/SUM(C9:D9)," ")</f>
        <v>1</v>
      </c>
    </row>
    <row r="10" spans="2:5" x14ac:dyDescent="0.25">
      <c r="B10" s="20" t="s">
        <v>131</v>
      </c>
      <c r="C10" s="21">
        <f>+COUNTIF('Score BD'!S:S,"SI")</f>
        <v>445</v>
      </c>
      <c r="D10" s="21">
        <f>+COUNTIF('Score BD'!S:S,"NO")</f>
        <v>0</v>
      </c>
      <c r="E10" s="223">
        <f t="shared" ref="E10:E11" si="2">+IFERROR(C10/SUM(C10:D10)," ")</f>
        <v>1</v>
      </c>
    </row>
    <row r="11" spans="2:5" x14ac:dyDescent="0.25">
      <c r="B11" s="20" t="s">
        <v>133</v>
      </c>
      <c r="C11" s="21">
        <f>+COUNTIF('Score BD'!T:T,"SI")</f>
        <v>445</v>
      </c>
      <c r="D11" s="21">
        <f>+COUNTIF('Score BD'!T:T,"NO")</f>
        <v>0</v>
      </c>
      <c r="E11" s="223">
        <f t="shared" si="2"/>
        <v>1</v>
      </c>
    </row>
    <row r="12" spans="2:5" x14ac:dyDescent="0.25">
      <c r="B12" s="20" t="s">
        <v>95</v>
      </c>
      <c r="C12" s="21">
        <f>+COUNTIF('Score BD'!U:U,"SI")</f>
        <v>441</v>
      </c>
      <c r="D12" s="21">
        <f>+COUNTIF('Score BD'!U:U,"NO")</f>
        <v>4</v>
      </c>
      <c r="E12" s="223">
        <f t="shared" ref="E12:E22" si="3">+IFERROR(C12/SUM(C12:D12)," ")</f>
        <v>0.99101123595505614</v>
      </c>
    </row>
    <row r="13" spans="2:5" x14ac:dyDescent="0.25">
      <c r="B13" s="33" t="s">
        <v>98</v>
      </c>
      <c r="C13" s="23">
        <f>+SUM(C14:C19)</f>
        <v>2670</v>
      </c>
      <c r="D13" s="23">
        <f>+SUM(D14:D19)</f>
        <v>0</v>
      </c>
      <c r="E13" s="222">
        <f>+IFERROR(C13/SUM(C13:D13)," ")</f>
        <v>1</v>
      </c>
    </row>
    <row r="14" spans="2:5" x14ac:dyDescent="0.25">
      <c r="B14" s="20" t="s">
        <v>118</v>
      </c>
      <c r="C14" s="21">
        <f>+COUNTIF('Score BD'!W:W,"SI")</f>
        <v>445</v>
      </c>
      <c r="D14" s="21">
        <f>+COUNTIF('Score BD'!W:W,"NO")</f>
        <v>0</v>
      </c>
      <c r="E14" s="223">
        <f t="shared" ref="E14:E19" si="4">+IFERROR(C14/SUM(C14:D14)," ")</f>
        <v>1</v>
      </c>
    </row>
    <row r="15" spans="2:5" x14ac:dyDescent="0.25">
      <c r="B15" s="20" t="s">
        <v>120</v>
      </c>
      <c r="C15" s="21">
        <f>+COUNTIF('Score BD'!X:X,"SI")</f>
        <v>445</v>
      </c>
      <c r="D15" s="21">
        <f>+COUNTIF('Score BD'!X:X,"NO")</f>
        <v>0</v>
      </c>
      <c r="E15" s="223">
        <f t="shared" si="4"/>
        <v>1</v>
      </c>
    </row>
    <row r="16" spans="2:5" x14ac:dyDescent="0.25">
      <c r="B16" s="20" t="s">
        <v>122</v>
      </c>
      <c r="C16" s="21">
        <f>+COUNTIF('Score BD'!Y:Y,"SI")</f>
        <v>445</v>
      </c>
      <c r="D16" s="21">
        <f>+COUNTIF('Score BD'!Y:Y,"NO")</f>
        <v>0</v>
      </c>
      <c r="E16" s="223">
        <f t="shared" si="4"/>
        <v>1</v>
      </c>
    </row>
    <row r="17" spans="2:5" x14ac:dyDescent="0.25">
      <c r="B17" s="20" t="s">
        <v>124</v>
      </c>
      <c r="C17" s="21">
        <f>+COUNTIF('Score BD'!Z:Z,"SI")</f>
        <v>445</v>
      </c>
      <c r="D17" s="21">
        <f>+COUNTIF('Score BD'!Z:Z,"NO")</f>
        <v>0</v>
      </c>
      <c r="E17" s="223">
        <f t="shared" si="4"/>
        <v>1</v>
      </c>
    </row>
    <row r="18" spans="2:5" x14ac:dyDescent="0.25">
      <c r="B18" s="20" t="s">
        <v>126</v>
      </c>
      <c r="C18" s="21">
        <f>+COUNTIF('Score BD'!AA:AA,"SI")</f>
        <v>445</v>
      </c>
      <c r="D18" s="21">
        <f>+COUNTIF('Score BD'!AA:AA,"NO")</f>
        <v>0</v>
      </c>
      <c r="E18" s="223">
        <f t="shared" si="4"/>
        <v>1</v>
      </c>
    </row>
    <row r="19" spans="2:5" x14ac:dyDescent="0.25">
      <c r="B19" s="20" t="s">
        <v>128</v>
      </c>
      <c r="C19" s="21">
        <f>+COUNTIF('Score BD'!AB:AB,"SI")</f>
        <v>445</v>
      </c>
      <c r="D19" s="21">
        <f>+COUNTIF('Score BD'!AB:AB,"NO")</f>
        <v>0</v>
      </c>
      <c r="E19" s="223">
        <f t="shared" si="4"/>
        <v>1</v>
      </c>
    </row>
    <row r="20" spans="2:5" x14ac:dyDescent="0.25">
      <c r="B20" s="33" t="s">
        <v>100</v>
      </c>
      <c r="C20" s="23">
        <f>+SUM(C21:C22)</f>
        <v>890</v>
      </c>
      <c r="D20" s="23">
        <f>+SUM(D21:D22)</f>
        <v>0</v>
      </c>
      <c r="E20" s="222">
        <f>+IFERROR(C20/SUM(C20:D20)," ")</f>
        <v>1</v>
      </c>
    </row>
    <row r="21" spans="2:5" x14ac:dyDescent="0.25">
      <c r="B21" s="20" t="s">
        <v>136</v>
      </c>
      <c r="C21" s="21">
        <f>+COUNTIF('Score BD'!AD:AD,"SI")</f>
        <v>445</v>
      </c>
      <c r="D21" s="21">
        <f>+COUNTIF('Score BD'!AD:AD,"NO")</f>
        <v>0</v>
      </c>
      <c r="E21" s="223">
        <f t="shared" si="3"/>
        <v>1</v>
      </c>
    </row>
    <row r="22" spans="2:5" x14ac:dyDescent="0.25">
      <c r="B22" s="20" t="s">
        <v>138</v>
      </c>
      <c r="C22" s="21">
        <f>+COUNTIF('Score BD'!AE:AE,"SI")</f>
        <v>445</v>
      </c>
      <c r="D22" s="21">
        <f>+COUNTIF('Score BD'!AE:AE,"NO")</f>
        <v>0</v>
      </c>
      <c r="E22" s="223">
        <f t="shared" si="3"/>
        <v>1</v>
      </c>
    </row>
    <row r="23" spans="2:5" x14ac:dyDescent="0.25">
      <c r="B23" s="480" t="s">
        <v>231</v>
      </c>
      <c r="C23" s="481"/>
      <c r="D23" s="482"/>
      <c r="E23" s="224">
        <f>AVERAGE(E3,E8,E13,E20)</f>
        <v>0.99845505617977526</v>
      </c>
    </row>
  </sheetData>
  <autoFilter ref="B2:E23" xr:uid="{00000000-0009-0000-0000-000005000000}"/>
  <mergeCells count="2">
    <mergeCell ref="B1:E1"/>
    <mergeCell ref="B23:D23"/>
  </mergeCells>
  <conditionalFormatting sqref="E3:E23">
    <cfRule type="cellIs" dxfId="579" priority="46" operator="lessThan">
      <formula>0.8</formula>
    </cfRule>
    <cfRule type="cellIs" dxfId="578" priority="47" operator="between">
      <formula>0.8</formula>
      <formula>0.999999</formula>
    </cfRule>
    <cfRule type="cellIs" dxfId="577" priority="48" operator="equal">
      <formula>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82"/>
  <sheetViews>
    <sheetView showGridLines="0" zoomScale="80" zoomScaleNormal="80" workbookViewId="0">
      <pane ySplit="1" topLeftCell="A2" activePane="bottomLeft" state="frozen"/>
      <selection pane="bottomLeft" activeCell="I38" sqref="I38"/>
    </sheetView>
  </sheetViews>
  <sheetFormatPr baseColWidth="10" defaultColWidth="11.42578125" defaultRowHeight="15" x14ac:dyDescent="0.25"/>
  <cols>
    <col min="2" max="2" width="14" customWidth="1"/>
    <col min="3" max="3" width="37.5703125" bestFit="1" customWidth="1"/>
    <col min="4" max="4" width="18.42578125" customWidth="1"/>
    <col min="5" max="5" width="31.5703125" bestFit="1" customWidth="1"/>
    <col min="6" max="7" width="14.5703125" customWidth="1"/>
    <col min="8" max="8" width="46.140625" customWidth="1"/>
    <col min="9" max="11" width="16.28515625" customWidth="1"/>
    <col min="14" max="14" width="13" customWidth="1"/>
    <col min="15" max="15" width="4.28515625" bestFit="1" customWidth="1"/>
    <col min="16" max="18" width="5.28515625" bestFit="1" customWidth="1"/>
    <col min="19" max="19" width="11.7109375" bestFit="1" customWidth="1"/>
  </cols>
  <sheetData>
    <row r="1" spans="1:18" ht="63.75" customHeight="1" x14ac:dyDescent="0.5">
      <c r="A1" s="486" t="s">
        <v>155</v>
      </c>
      <c r="B1" s="486"/>
      <c r="C1" s="486"/>
      <c r="D1" s="486"/>
      <c r="E1" s="486"/>
      <c r="F1" s="486"/>
      <c r="G1" s="486"/>
      <c r="H1" s="486"/>
      <c r="I1" s="486"/>
      <c r="J1" s="486"/>
      <c r="K1" s="486"/>
      <c r="L1" s="486"/>
      <c r="M1" s="486"/>
      <c r="N1" s="182"/>
      <c r="O1" s="182"/>
      <c r="P1" s="182"/>
      <c r="Q1" s="182"/>
      <c r="R1" s="182"/>
    </row>
    <row r="2" spans="1:18" ht="15.75" thickBot="1" x14ac:dyDescent="0.3">
      <c r="G2" s="114"/>
    </row>
    <row r="3" spans="1:18" ht="28.5" customHeight="1" x14ac:dyDescent="0.25">
      <c r="B3" s="483" t="s">
        <v>220</v>
      </c>
      <c r="C3" s="484"/>
      <c r="D3" s="484"/>
      <c r="E3" s="484"/>
      <c r="F3" s="485"/>
      <c r="G3" s="487" t="s">
        <v>219</v>
      </c>
      <c r="H3" s="488"/>
      <c r="I3" s="488"/>
      <c r="J3" s="488"/>
      <c r="K3" s="488"/>
      <c r="L3" s="489"/>
    </row>
    <row r="4" spans="1:18" x14ac:dyDescent="0.25">
      <c r="B4" s="111"/>
      <c r="F4" s="112"/>
      <c r="L4" s="112"/>
    </row>
    <row r="5" spans="1:18" x14ac:dyDescent="0.25">
      <c r="B5" s="122"/>
      <c r="C5" s="117" t="s">
        <v>71</v>
      </c>
      <c r="D5" s="116" t="s">
        <v>161</v>
      </c>
      <c r="E5" s="116" t="s">
        <v>90</v>
      </c>
      <c r="F5" s="112"/>
      <c r="H5" s="123" t="s">
        <v>213</v>
      </c>
      <c r="I5" s="124" t="s">
        <v>162</v>
      </c>
      <c r="L5" s="112"/>
    </row>
    <row r="6" spans="1:18" ht="15.75" thickBot="1" x14ac:dyDescent="0.3">
      <c r="B6" s="122"/>
      <c r="C6" s="118" t="s">
        <v>156</v>
      </c>
      <c r="D6" s="203">
        <f>GETPIVOTDATA("Calificación total",'Reporte por asesor '!$C$8)</f>
        <v>0.99845505617977537</v>
      </c>
      <c r="E6" s="204">
        <v>0.95</v>
      </c>
      <c r="F6" s="112"/>
      <c r="L6" s="112"/>
    </row>
    <row r="7" spans="1:18" ht="45.75" thickBot="1" x14ac:dyDescent="0.3">
      <c r="B7" s="111"/>
      <c r="F7" s="112"/>
      <c r="H7" s="125" t="s">
        <v>158</v>
      </c>
      <c r="I7" s="125" t="s">
        <v>160</v>
      </c>
      <c r="J7" s="125" t="s">
        <v>159</v>
      </c>
      <c r="K7" s="125" t="s">
        <v>157</v>
      </c>
      <c r="L7" s="112"/>
    </row>
    <row r="8" spans="1:18" ht="15.75" thickBot="1" x14ac:dyDescent="0.3">
      <c r="B8" s="111"/>
      <c r="F8" s="112"/>
      <c r="H8" s="202">
        <v>0.9964646464646465</v>
      </c>
      <c r="I8" s="202">
        <v>0.99797979797979797</v>
      </c>
      <c r="J8" s="202">
        <v>1</v>
      </c>
      <c r="K8" s="202">
        <v>1.0000000000000002</v>
      </c>
      <c r="L8" s="112"/>
    </row>
    <row r="9" spans="1:18" x14ac:dyDescent="0.25">
      <c r="B9" s="111"/>
      <c r="F9" s="112"/>
      <c r="L9" s="112"/>
    </row>
    <row r="10" spans="1:18" x14ac:dyDescent="0.25">
      <c r="B10" s="111"/>
      <c r="F10" s="112"/>
      <c r="L10" s="112"/>
    </row>
    <row r="11" spans="1:18" x14ac:dyDescent="0.25">
      <c r="B11" s="111"/>
      <c r="F11" s="112"/>
      <c r="L11" s="112"/>
    </row>
    <row r="12" spans="1:18" x14ac:dyDescent="0.25">
      <c r="B12" s="111"/>
      <c r="F12" s="112"/>
      <c r="L12" s="112"/>
    </row>
    <row r="13" spans="1:18" x14ac:dyDescent="0.25">
      <c r="B13" s="111"/>
      <c r="F13" s="112"/>
      <c r="L13" s="112"/>
    </row>
    <row r="14" spans="1:18" x14ac:dyDescent="0.25">
      <c r="B14" s="111"/>
      <c r="F14" s="112"/>
      <c r="L14" s="112"/>
    </row>
    <row r="15" spans="1:18" x14ac:dyDescent="0.25">
      <c r="B15" s="111"/>
      <c r="F15" s="112"/>
      <c r="L15" s="112"/>
    </row>
    <row r="16" spans="1:18" x14ac:dyDescent="0.25">
      <c r="B16" s="111"/>
      <c r="F16" s="112"/>
      <c r="L16" s="112"/>
    </row>
    <row r="17" spans="2:12" x14ac:dyDescent="0.25">
      <c r="B17" s="111"/>
      <c r="F17" s="112"/>
      <c r="L17" s="112"/>
    </row>
    <row r="18" spans="2:12" x14ac:dyDescent="0.25">
      <c r="B18" s="111"/>
      <c r="F18" s="112"/>
      <c r="L18" s="112"/>
    </row>
    <row r="19" spans="2:12" x14ac:dyDescent="0.25">
      <c r="B19" s="111"/>
      <c r="F19" s="112"/>
      <c r="L19" s="112"/>
    </row>
    <row r="20" spans="2:12" x14ac:dyDescent="0.25">
      <c r="B20" s="111"/>
      <c r="F20" s="112"/>
      <c r="L20" s="112"/>
    </row>
    <row r="21" spans="2:12" x14ac:dyDescent="0.25">
      <c r="B21" s="111"/>
      <c r="F21" s="112"/>
      <c r="L21" s="112"/>
    </row>
    <row r="22" spans="2:12" x14ac:dyDescent="0.25">
      <c r="B22" s="111"/>
      <c r="F22" s="112"/>
      <c r="L22" s="112"/>
    </row>
    <row r="23" spans="2:12" x14ac:dyDescent="0.25">
      <c r="B23" s="111"/>
      <c r="F23" s="112"/>
      <c r="L23" s="112"/>
    </row>
    <row r="24" spans="2:12" x14ac:dyDescent="0.25">
      <c r="B24" s="111"/>
      <c r="F24" s="112"/>
      <c r="L24" s="112"/>
    </row>
    <row r="25" spans="2:12" x14ac:dyDescent="0.25">
      <c r="B25" s="111"/>
      <c r="F25" s="112"/>
      <c r="L25" s="112"/>
    </row>
    <row r="26" spans="2:12" x14ac:dyDescent="0.25">
      <c r="B26" s="111"/>
      <c r="F26" s="112"/>
      <c r="L26" s="112"/>
    </row>
    <row r="27" spans="2:12" x14ac:dyDescent="0.25">
      <c r="B27" s="111"/>
      <c r="F27" s="112"/>
      <c r="L27" s="112"/>
    </row>
    <row r="28" spans="2:12" ht="15.75" thickBot="1" x14ac:dyDescent="0.3">
      <c r="B28" s="113"/>
      <c r="C28" s="114"/>
      <c r="D28" s="114"/>
      <c r="E28" s="114"/>
      <c r="F28" s="115"/>
      <c r="H28" s="114"/>
      <c r="I28" s="114"/>
      <c r="J28" s="114"/>
      <c r="K28" s="114"/>
      <c r="L28" s="115"/>
    </row>
    <row r="29" spans="2:12" ht="27" customHeight="1" x14ac:dyDescent="0.25">
      <c r="B29" s="483" t="s">
        <v>217</v>
      </c>
      <c r="C29" s="484"/>
      <c r="D29" s="484"/>
      <c r="E29" s="484"/>
      <c r="F29" s="485"/>
      <c r="G29" s="487" t="s">
        <v>218</v>
      </c>
      <c r="H29" s="488"/>
      <c r="I29" s="488"/>
      <c r="J29" s="488"/>
      <c r="K29" s="488"/>
      <c r="L29" s="489"/>
    </row>
    <row r="30" spans="2:12" ht="15.75" thickBot="1" x14ac:dyDescent="0.3">
      <c r="B30" s="111"/>
      <c r="F30" s="112"/>
      <c r="L30" s="112"/>
    </row>
    <row r="31" spans="2:12" s="166" customFormat="1" ht="15.75" thickBot="1" x14ac:dyDescent="0.3">
      <c r="B31" s="165"/>
      <c r="C31" s="191" t="s">
        <v>213</v>
      </c>
      <c r="D31" s="192" t="s">
        <v>162</v>
      </c>
      <c r="F31" s="167"/>
      <c r="H31" s="181" t="s">
        <v>213</v>
      </c>
      <c r="I31" s="190" t="s">
        <v>162</v>
      </c>
      <c r="L31" s="167"/>
    </row>
    <row r="32" spans="2:12" ht="15.75" thickBot="1" x14ac:dyDescent="0.3">
      <c r="B32" s="111"/>
      <c r="F32" s="112"/>
      <c r="L32" s="112"/>
    </row>
    <row r="33" spans="2:12" ht="30.75" thickBot="1" x14ac:dyDescent="0.3">
      <c r="B33" s="111"/>
      <c r="C33" s="125" t="s">
        <v>72</v>
      </c>
      <c r="D33" s="125" t="s">
        <v>154</v>
      </c>
      <c r="F33" s="112"/>
      <c r="H33" s="125" t="s">
        <v>167</v>
      </c>
      <c r="I33" s="168" t="s">
        <v>215</v>
      </c>
      <c r="J33" s="168" t="s">
        <v>168</v>
      </c>
      <c r="L33" s="112"/>
    </row>
    <row r="34" spans="2:12" ht="15.75" thickBot="1" x14ac:dyDescent="0.3">
      <c r="B34" s="111"/>
      <c r="C34" s="220">
        <v>2</v>
      </c>
      <c r="D34" s="202">
        <v>0.99841772151898756</v>
      </c>
      <c r="F34" s="112"/>
      <c r="H34" s="120" t="s">
        <v>164</v>
      </c>
      <c r="I34" s="521">
        <v>178</v>
      </c>
      <c r="J34" s="164">
        <v>0.4</v>
      </c>
      <c r="L34" s="112"/>
    </row>
    <row r="35" spans="2:12" ht="15.75" thickBot="1" x14ac:dyDescent="0.3">
      <c r="B35" s="111"/>
      <c r="C35" s="220">
        <v>3</v>
      </c>
      <c r="D35" s="202">
        <v>1.0000000000000002</v>
      </c>
      <c r="F35" s="112"/>
      <c r="H35" s="119" t="s">
        <v>165</v>
      </c>
      <c r="I35" s="521">
        <v>150</v>
      </c>
      <c r="J35" s="164">
        <v>0.33707865168539325</v>
      </c>
      <c r="L35" s="112"/>
    </row>
    <row r="36" spans="2:12" ht="15.75" thickBot="1" x14ac:dyDescent="0.3">
      <c r="B36" s="111"/>
      <c r="C36" s="220">
        <v>4</v>
      </c>
      <c r="D36" s="202">
        <v>0.99723451327433643</v>
      </c>
      <c r="F36" s="112"/>
      <c r="H36" s="120" t="s">
        <v>210</v>
      </c>
      <c r="I36" s="521">
        <v>48</v>
      </c>
      <c r="J36" s="164">
        <v>0.10786516853932585</v>
      </c>
      <c r="L36" s="112"/>
    </row>
    <row r="37" spans="2:12" ht="15.75" thickBot="1" x14ac:dyDescent="0.3">
      <c r="B37" s="111"/>
      <c r="C37" s="220">
        <v>5</v>
      </c>
      <c r="D37" s="202">
        <v>0.99772727272727291</v>
      </c>
      <c r="F37" s="112"/>
      <c r="H37" s="120" t="s">
        <v>208</v>
      </c>
      <c r="I37" s="521">
        <v>59</v>
      </c>
      <c r="J37" s="164">
        <v>0.13258426966292136</v>
      </c>
      <c r="L37" s="112"/>
    </row>
    <row r="38" spans="2:12" ht="15.75" thickBot="1" x14ac:dyDescent="0.3">
      <c r="B38" s="111"/>
      <c r="C38" s="126" t="s">
        <v>152</v>
      </c>
      <c r="D38" s="202">
        <v>0.99845505617977537</v>
      </c>
      <c r="F38" s="112"/>
      <c r="H38" s="120" t="s">
        <v>211</v>
      </c>
      <c r="I38" s="521">
        <v>10</v>
      </c>
      <c r="J38" s="164">
        <v>2.247191011235955E-2</v>
      </c>
      <c r="L38" s="112"/>
    </row>
    <row r="39" spans="2:12" ht="15.75" thickBot="1" x14ac:dyDescent="0.3">
      <c r="B39" s="111"/>
      <c r="F39" s="112"/>
      <c r="H39" s="120" t="s">
        <v>89</v>
      </c>
      <c r="I39" s="520">
        <v>445</v>
      </c>
      <c r="J39" s="121">
        <v>1</v>
      </c>
      <c r="L39" s="112"/>
    </row>
    <row r="40" spans="2:12" x14ac:dyDescent="0.25">
      <c r="B40" s="111"/>
      <c r="F40" s="112"/>
      <c r="L40" s="112"/>
    </row>
    <row r="41" spans="2:12" x14ac:dyDescent="0.25">
      <c r="B41" s="111"/>
      <c r="F41" s="112"/>
      <c r="L41" s="112"/>
    </row>
    <row r="42" spans="2:12" x14ac:dyDescent="0.25">
      <c r="B42" s="111"/>
      <c r="F42" s="112"/>
      <c r="L42" s="112"/>
    </row>
    <row r="43" spans="2:12" x14ac:dyDescent="0.25">
      <c r="B43" s="111"/>
      <c r="F43" s="112"/>
      <c r="L43" s="112"/>
    </row>
    <row r="44" spans="2:12" x14ac:dyDescent="0.25">
      <c r="B44" s="111"/>
      <c r="F44" s="112"/>
      <c r="L44" s="112"/>
    </row>
    <row r="45" spans="2:12" x14ac:dyDescent="0.25">
      <c r="B45" s="111"/>
      <c r="F45" s="112"/>
      <c r="L45" s="112"/>
    </row>
    <row r="46" spans="2:12" x14ac:dyDescent="0.25">
      <c r="B46" s="111"/>
      <c r="F46" s="112"/>
      <c r="L46" s="112"/>
    </row>
    <row r="47" spans="2:12" x14ac:dyDescent="0.25">
      <c r="B47" s="111"/>
      <c r="F47" s="112"/>
      <c r="L47" s="112"/>
    </row>
    <row r="48" spans="2:12" x14ac:dyDescent="0.25">
      <c r="B48" s="111"/>
      <c r="F48" s="112"/>
      <c r="L48" s="112"/>
    </row>
    <row r="49" spans="2:12" x14ac:dyDescent="0.25">
      <c r="B49" s="111"/>
      <c r="F49" s="112"/>
      <c r="L49" s="112"/>
    </row>
    <row r="50" spans="2:12" x14ac:dyDescent="0.25">
      <c r="B50" s="111"/>
      <c r="F50" s="112"/>
      <c r="L50" s="112"/>
    </row>
    <row r="51" spans="2:12" x14ac:dyDescent="0.25">
      <c r="B51" s="111"/>
      <c r="F51" s="112"/>
      <c r="L51" s="112"/>
    </row>
    <row r="52" spans="2:12" x14ac:dyDescent="0.25">
      <c r="B52" s="111"/>
      <c r="F52" s="112"/>
      <c r="L52" s="112"/>
    </row>
    <row r="53" spans="2:12" x14ac:dyDescent="0.25">
      <c r="B53" s="111"/>
      <c r="F53" s="112"/>
      <c r="L53" s="112"/>
    </row>
    <row r="54" spans="2:12" x14ac:dyDescent="0.25">
      <c r="B54" s="111"/>
      <c r="F54" s="112"/>
      <c r="L54" s="112"/>
    </row>
    <row r="55" spans="2:12" x14ac:dyDescent="0.25">
      <c r="B55" s="111"/>
      <c r="F55" s="112"/>
      <c r="L55" s="112"/>
    </row>
    <row r="56" spans="2:12" x14ac:dyDescent="0.25">
      <c r="B56" s="111"/>
      <c r="F56" s="112"/>
      <c r="L56" s="112"/>
    </row>
    <row r="57" spans="2:12" ht="15.75" thickBot="1" x14ac:dyDescent="0.3">
      <c r="B57" s="113"/>
      <c r="C57" s="114"/>
      <c r="D57" s="114"/>
      <c r="E57" s="114"/>
      <c r="F57" s="115"/>
      <c r="G57" s="113"/>
      <c r="H57" s="114"/>
      <c r="I57" s="114"/>
      <c r="J57" s="114"/>
      <c r="K57" s="114"/>
      <c r="L57" s="115"/>
    </row>
    <row r="58" spans="2:12" ht="33.75" customHeight="1" x14ac:dyDescent="0.25">
      <c r="B58" s="483" t="s">
        <v>216</v>
      </c>
      <c r="C58" s="484"/>
      <c r="D58" s="484"/>
      <c r="E58" s="484"/>
      <c r="F58" s="485"/>
      <c r="G58" s="110"/>
      <c r="H58" s="110"/>
    </row>
    <row r="59" spans="2:12" ht="15.75" thickBot="1" x14ac:dyDescent="0.3">
      <c r="B59" s="111"/>
      <c r="F59" s="112"/>
    </row>
    <row r="60" spans="2:12" ht="30.75" thickBot="1" x14ac:dyDescent="0.3">
      <c r="B60" s="111"/>
      <c r="C60" s="128" t="s">
        <v>167</v>
      </c>
      <c r="D60" s="119" t="s">
        <v>169</v>
      </c>
      <c r="F60" s="112"/>
    </row>
    <row r="61" spans="2:12" ht="15.75" thickBot="1" x14ac:dyDescent="0.3">
      <c r="B61" s="111"/>
      <c r="C61" s="120" t="s">
        <v>148</v>
      </c>
      <c r="D61" s="121">
        <v>1</v>
      </c>
      <c r="F61" s="112"/>
    </row>
    <row r="62" spans="2:12" ht="15.75" thickBot="1" x14ac:dyDescent="0.3">
      <c r="B62" s="111"/>
      <c r="C62" s="120" t="s">
        <v>89</v>
      </c>
      <c r="D62" s="121">
        <v>1</v>
      </c>
      <c r="F62" s="112"/>
    </row>
    <row r="63" spans="2:12" x14ac:dyDescent="0.25">
      <c r="B63" s="111"/>
      <c r="F63" s="112"/>
    </row>
    <row r="64" spans="2:12" x14ac:dyDescent="0.25">
      <c r="B64" s="111"/>
      <c r="F64" s="112"/>
    </row>
    <row r="65" spans="2:6" x14ac:dyDescent="0.25">
      <c r="B65" s="111"/>
      <c r="F65" s="112"/>
    </row>
    <row r="66" spans="2:6" x14ac:dyDescent="0.25">
      <c r="B66" s="111"/>
      <c r="F66" s="112"/>
    </row>
    <row r="67" spans="2:6" x14ac:dyDescent="0.25">
      <c r="B67" s="111"/>
      <c r="F67" s="112"/>
    </row>
    <row r="68" spans="2:6" x14ac:dyDescent="0.25">
      <c r="B68" s="111"/>
      <c r="F68" s="112"/>
    </row>
    <row r="69" spans="2:6" x14ac:dyDescent="0.25">
      <c r="B69" s="111"/>
      <c r="F69" s="112"/>
    </row>
    <row r="70" spans="2:6" x14ac:dyDescent="0.25">
      <c r="B70" s="111"/>
      <c r="F70" s="112"/>
    </row>
    <row r="71" spans="2:6" x14ac:dyDescent="0.25">
      <c r="B71" s="111"/>
      <c r="F71" s="112"/>
    </row>
    <row r="72" spans="2:6" x14ac:dyDescent="0.25">
      <c r="B72" s="111"/>
      <c r="F72" s="112"/>
    </row>
    <row r="73" spans="2:6" x14ac:dyDescent="0.25">
      <c r="B73" s="111"/>
      <c r="F73" s="112"/>
    </row>
    <row r="74" spans="2:6" x14ac:dyDescent="0.25">
      <c r="B74" s="111"/>
      <c r="F74" s="112"/>
    </row>
    <row r="75" spans="2:6" x14ac:dyDescent="0.25">
      <c r="B75" s="111"/>
      <c r="F75" s="112"/>
    </row>
    <row r="76" spans="2:6" x14ac:dyDescent="0.25">
      <c r="B76" s="111"/>
      <c r="F76" s="112"/>
    </row>
    <row r="77" spans="2:6" x14ac:dyDescent="0.25">
      <c r="B77" s="111"/>
      <c r="F77" s="112"/>
    </row>
    <row r="78" spans="2:6" x14ac:dyDescent="0.25">
      <c r="B78" s="111"/>
      <c r="F78" s="112"/>
    </row>
    <row r="79" spans="2:6" x14ac:dyDescent="0.25">
      <c r="B79" s="111"/>
      <c r="F79" s="112"/>
    </row>
    <row r="80" spans="2:6" x14ac:dyDescent="0.25">
      <c r="B80" s="111"/>
      <c r="F80" s="112"/>
    </row>
    <row r="81" spans="2:6" x14ac:dyDescent="0.25">
      <c r="B81" s="111"/>
      <c r="F81" s="112"/>
    </row>
    <row r="82" spans="2:6" ht="44.45" customHeight="1" thickBot="1" x14ac:dyDescent="0.3">
      <c r="B82" s="113"/>
      <c r="C82" s="114"/>
      <c r="D82" s="114"/>
      <c r="E82" s="114"/>
      <c r="F82" s="115"/>
    </row>
  </sheetData>
  <mergeCells count="6">
    <mergeCell ref="B58:F58"/>
    <mergeCell ref="A1:M1"/>
    <mergeCell ref="B3:F3"/>
    <mergeCell ref="G3:L3"/>
    <mergeCell ref="B29:F29"/>
    <mergeCell ref="G29:L29"/>
  </mergeCell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0"/>
  <sheetViews>
    <sheetView showGridLines="0" workbookViewId="0">
      <pane ySplit="1" topLeftCell="A10" activePane="bottomLeft" state="frozen"/>
      <selection pane="bottomLeft" activeCell="C10" sqref="C10"/>
    </sheetView>
  </sheetViews>
  <sheetFormatPr baseColWidth="10" defaultRowHeight="15" x14ac:dyDescent="0.25"/>
  <cols>
    <col min="1" max="1" width="3.5703125" customWidth="1"/>
    <col min="2" max="2" width="3.85546875" customWidth="1"/>
    <col min="3" max="3" width="41.28515625" style="22" customWidth="1"/>
    <col min="4" max="6" width="11.140625" style="180" customWidth="1"/>
    <col min="7" max="7" width="11.140625" style="193" customWidth="1"/>
    <col min="9" max="9" width="10" customWidth="1"/>
    <col min="10" max="10" width="7.5703125" customWidth="1"/>
    <col min="11" max="11" width="4" customWidth="1"/>
    <col min="12" max="12" width="4.42578125" customWidth="1"/>
    <col min="13" max="13" width="41.140625" customWidth="1"/>
    <col min="14" max="16" width="12.140625" customWidth="1"/>
    <col min="17" max="17" width="13" customWidth="1"/>
    <col min="20" max="20" width="5.140625" customWidth="1"/>
  </cols>
  <sheetData>
    <row r="1" spans="1:20" ht="41.25" customHeight="1" x14ac:dyDescent="0.25">
      <c r="A1" s="486" t="s">
        <v>155</v>
      </c>
      <c r="B1" s="486"/>
      <c r="C1" s="486"/>
      <c r="D1" s="486"/>
      <c r="E1" s="486"/>
      <c r="F1" s="486"/>
      <c r="G1" s="486"/>
      <c r="H1" s="486"/>
      <c r="I1" s="486"/>
      <c r="J1" s="486"/>
      <c r="K1" s="486"/>
      <c r="L1" s="486"/>
      <c r="M1" s="486"/>
      <c r="N1" s="486"/>
      <c r="O1" s="486"/>
      <c r="P1" s="486"/>
      <c r="Q1" s="486"/>
      <c r="R1" s="486"/>
      <c r="S1" s="486"/>
      <c r="T1" s="486"/>
    </row>
    <row r="2" spans="1:20" ht="15.75" thickBot="1" x14ac:dyDescent="0.3"/>
    <row r="3" spans="1:20" ht="23.25" customHeight="1" thickBot="1" x14ac:dyDescent="0.3">
      <c r="B3" s="490" t="s">
        <v>222</v>
      </c>
      <c r="C3" s="491"/>
      <c r="D3" s="491"/>
      <c r="E3" s="491"/>
      <c r="F3" s="491"/>
      <c r="G3" s="491"/>
      <c r="H3" s="491"/>
      <c r="I3" s="491"/>
      <c r="J3" s="492"/>
      <c r="L3" s="490" t="s">
        <v>221</v>
      </c>
      <c r="M3" s="491"/>
      <c r="N3" s="491"/>
      <c r="O3" s="491"/>
      <c r="P3" s="491"/>
      <c r="Q3" s="491"/>
      <c r="R3" s="491"/>
      <c r="S3" s="491"/>
      <c r="T3" s="492"/>
    </row>
    <row r="4" spans="1:20" ht="15.75" thickBot="1" x14ac:dyDescent="0.3">
      <c r="B4" s="237"/>
      <c r="C4" s="110"/>
      <c r="D4" s="232"/>
      <c r="E4" s="232"/>
      <c r="F4" s="232"/>
      <c r="G4" s="238"/>
      <c r="H4" s="110"/>
      <c r="I4" s="110"/>
      <c r="J4" s="239"/>
      <c r="L4" s="237"/>
      <c r="M4" s="110"/>
      <c r="N4" s="110"/>
      <c r="O4" s="110"/>
      <c r="P4" s="110"/>
      <c r="Q4" s="110"/>
      <c r="R4" s="110"/>
      <c r="S4" s="110"/>
      <c r="T4" s="239"/>
    </row>
    <row r="5" spans="1:20" ht="19.5" customHeight="1" thickBot="1" x14ac:dyDescent="0.3">
      <c r="B5" s="111"/>
      <c r="C5"/>
      <c r="G5" s="194"/>
      <c r="J5" s="112"/>
      <c r="L5" s="111"/>
      <c r="M5" s="184" t="s">
        <v>213</v>
      </c>
      <c r="N5" s="185" t="s">
        <v>239</v>
      </c>
      <c r="O5" s="233"/>
      <c r="P5" s="233"/>
      <c r="Q5" s="233"/>
      <c r="R5" s="233"/>
      <c r="S5" s="233"/>
      <c r="T5" s="112"/>
    </row>
    <row r="6" spans="1:20" ht="19.5" customHeight="1" thickBot="1" x14ac:dyDescent="0.3">
      <c r="B6" s="111"/>
      <c r="C6" s="240" t="s">
        <v>213</v>
      </c>
      <c r="D6" s="186" t="s">
        <v>239</v>
      </c>
      <c r="G6" s="194"/>
      <c r="J6" s="112"/>
      <c r="L6" s="111"/>
      <c r="M6" s="184" t="s">
        <v>66</v>
      </c>
      <c r="N6" s="185" t="s">
        <v>239</v>
      </c>
      <c r="O6" s="22"/>
      <c r="P6" s="22"/>
      <c r="Q6" s="22"/>
      <c r="R6" s="22"/>
      <c r="S6" s="22"/>
      <c r="T6" s="112"/>
    </row>
    <row r="7" spans="1:20" ht="15.75" thickBot="1" x14ac:dyDescent="0.3">
      <c r="B7" s="111"/>
      <c r="G7" s="194"/>
      <c r="J7" s="112"/>
      <c r="L7" s="111"/>
      <c r="Q7" s="234"/>
      <c r="R7" s="234"/>
      <c r="S7" s="234"/>
      <c r="T7" s="112"/>
    </row>
    <row r="8" spans="1:20" ht="21" customHeight="1" thickBot="1" x14ac:dyDescent="0.3">
      <c r="B8" s="111"/>
      <c r="C8" s="187" t="s">
        <v>230</v>
      </c>
      <c r="D8" s="187" t="s">
        <v>72</v>
      </c>
      <c r="E8" s="257"/>
      <c r="F8" s="259"/>
      <c r="G8" s="259"/>
      <c r="H8" s="186"/>
      <c r="J8" s="112"/>
      <c r="L8" s="111"/>
      <c r="M8" s="187" t="s">
        <v>229</v>
      </c>
      <c r="N8" s="187" t="s">
        <v>72</v>
      </c>
      <c r="O8" s="257"/>
      <c r="P8" s="259"/>
      <c r="Q8" s="259"/>
      <c r="R8" s="186"/>
      <c r="T8" s="112"/>
    </row>
    <row r="9" spans="1:20" ht="35.25" customHeight="1" thickBot="1" x14ac:dyDescent="0.3">
      <c r="B9" s="111"/>
      <c r="C9" s="187" t="s">
        <v>153</v>
      </c>
      <c r="D9" s="189">
        <v>2</v>
      </c>
      <c r="E9" s="189">
        <v>3</v>
      </c>
      <c r="F9" s="263">
        <v>4</v>
      </c>
      <c r="G9" s="189">
        <v>5</v>
      </c>
      <c r="H9" s="188" t="s">
        <v>89</v>
      </c>
      <c r="J9" s="112"/>
      <c r="L9" s="111"/>
      <c r="M9" s="187" t="s">
        <v>153</v>
      </c>
      <c r="N9" s="189">
        <v>2</v>
      </c>
      <c r="O9" s="260">
        <v>3</v>
      </c>
      <c r="P9" s="263">
        <v>4</v>
      </c>
      <c r="Q9" s="189">
        <v>5</v>
      </c>
      <c r="R9" s="188" t="s">
        <v>89</v>
      </c>
      <c r="T9" s="112"/>
    </row>
    <row r="10" spans="1:20" ht="19.5" customHeight="1" x14ac:dyDescent="0.25">
      <c r="B10" s="111"/>
      <c r="C10" s="246" t="s">
        <v>171</v>
      </c>
      <c r="D10" s="252">
        <v>1.0000000000000002</v>
      </c>
      <c r="E10" s="252">
        <v>1.0000000000000002</v>
      </c>
      <c r="F10" s="252">
        <v>1.0000000000000002</v>
      </c>
      <c r="G10" s="252">
        <v>1.0000000000000002</v>
      </c>
      <c r="H10" s="253">
        <v>1.0000000000000002</v>
      </c>
      <c r="J10" s="112"/>
      <c r="L10" s="111"/>
      <c r="M10" s="249" t="s">
        <v>171</v>
      </c>
      <c r="N10" s="212">
        <v>7</v>
      </c>
      <c r="O10" s="212">
        <v>17</v>
      </c>
      <c r="P10" s="212">
        <v>12</v>
      </c>
      <c r="Q10" s="212">
        <v>12</v>
      </c>
      <c r="R10" s="212">
        <v>48</v>
      </c>
      <c r="T10" s="112"/>
    </row>
    <row r="11" spans="1:20" ht="19.5" customHeight="1" x14ac:dyDescent="0.25">
      <c r="B11" s="111"/>
      <c r="C11" s="247" t="s">
        <v>228</v>
      </c>
      <c r="D11" s="254">
        <v>1.0000000000000004</v>
      </c>
      <c r="E11" s="254">
        <v>1.0000000000000004</v>
      </c>
      <c r="F11" s="254">
        <v>1.0000000000000004</v>
      </c>
      <c r="G11" s="254">
        <v>0.98437500000000044</v>
      </c>
      <c r="H11" s="255">
        <v>0.99553571428571441</v>
      </c>
      <c r="J11" s="112"/>
      <c r="L11" s="111"/>
      <c r="M11" s="250" t="s">
        <v>228</v>
      </c>
      <c r="N11" s="522">
        <v>2</v>
      </c>
      <c r="O11" s="522">
        <v>3</v>
      </c>
      <c r="P11" s="522">
        <v>5</v>
      </c>
      <c r="Q11" s="522">
        <v>4</v>
      </c>
      <c r="R11" s="522">
        <v>14</v>
      </c>
      <c r="T11" s="112"/>
    </row>
    <row r="12" spans="1:20" ht="19.5" customHeight="1" x14ac:dyDescent="0.25">
      <c r="B12" s="111"/>
      <c r="C12" s="247" t="s">
        <v>172</v>
      </c>
      <c r="D12" s="254">
        <v>1.0000000000000004</v>
      </c>
      <c r="E12" s="254">
        <v>1.0000000000000002</v>
      </c>
      <c r="F12" s="254">
        <v>1.0000000000000004</v>
      </c>
      <c r="G12" s="254">
        <v>1.0000000000000002</v>
      </c>
      <c r="H12" s="255">
        <v>1.0000000000000002</v>
      </c>
      <c r="J12" s="112"/>
      <c r="L12" s="111"/>
      <c r="M12" s="250" t="s">
        <v>172</v>
      </c>
      <c r="N12" s="209">
        <v>3</v>
      </c>
      <c r="O12" s="209">
        <v>6</v>
      </c>
      <c r="P12" s="209">
        <v>4</v>
      </c>
      <c r="Q12" s="209">
        <v>7</v>
      </c>
      <c r="R12" s="209">
        <v>20</v>
      </c>
      <c r="T12" s="112"/>
    </row>
    <row r="13" spans="1:20" ht="19.5" customHeight="1" x14ac:dyDescent="0.25">
      <c r="B13" s="111"/>
      <c r="C13" s="247" t="s">
        <v>173</v>
      </c>
      <c r="D13" s="254">
        <v>1.0000000000000004</v>
      </c>
      <c r="E13" s="254">
        <v>1.0000000000000004</v>
      </c>
      <c r="F13" s="254">
        <v>1.0000000000000004</v>
      </c>
      <c r="G13" s="254">
        <v>1.0000000000000004</v>
      </c>
      <c r="H13" s="255">
        <v>1.0000000000000002</v>
      </c>
      <c r="J13" s="112"/>
      <c r="L13" s="111"/>
      <c r="M13" s="250" t="s">
        <v>173</v>
      </c>
      <c r="N13" s="209">
        <v>3</v>
      </c>
      <c r="O13" s="209">
        <v>5</v>
      </c>
      <c r="P13" s="209">
        <v>4</v>
      </c>
      <c r="Q13" s="209">
        <v>4</v>
      </c>
      <c r="R13" s="209">
        <v>16</v>
      </c>
      <c r="T13" s="112"/>
    </row>
    <row r="14" spans="1:20" ht="19.5" customHeight="1" x14ac:dyDescent="0.25">
      <c r="B14" s="111"/>
      <c r="C14" s="247" t="s">
        <v>203</v>
      </c>
      <c r="D14" s="254">
        <v>1.0000000000000004</v>
      </c>
      <c r="E14" s="254">
        <v>1.0000000000000004</v>
      </c>
      <c r="F14" s="254">
        <v>1.0000000000000004</v>
      </c>
      <c r="G14" s="254">
        <v>0.97916666666666707</v>
      </c>
      <c r="H14" s="255">
        <v>0.99375000000000013</v>
      </c>
      <c r="J14" s="112"/>
      <c r="L14" s="111"/>
      <c r="M14" s="250" t="s">
        <v>203</v>
      </c>
      <c r="N14" s="209">
        <v>1</v>
      </c>
      <c r="O14" s="209">
        <v>3</v>
      </c>
      <c r="P14" s="209">
        <v>3</v>
      </c>
      <c r="Q14" s="209">
        <v>3</v>
      </c>
      <c r="R14" s="209">
        <v>10</v>
      </c>
      <c r="T14" s="112"/>
    </row>
    <row r="15" spans="1:20" ht="19.5" customHeight="1" x14ac:dyDescent="0.25">
      <c r="B15" s="111"/>
      <c r="C15" s="247" t="s">
        <v>174</v>
      </c>
      <c r="D15" s="254">
        <v>1.0000000000000002</v>
      </c>
      <c r="E15" s="254">
        <v>1.0000000000000002</v>
      </c>
      <c r="F15" s="254">
        <v>0.98863636363636376</v>
      </c>
      <c r="G15" s="254">
        <v>1.0000000000000002</v>
      </c>
      <c r="H15" s="255">
        <v>0.99695121951219534</v>
      </c>
      <c r="J15" s="112"/>
      <c r="L15" s="111"/>
      <c r="M15" s="250" t="s">
        <v>174</v>
      </c>
      <c r="N15" s="209">
        <v>7</v>
      </c>
      <c r="O15" s="209">
        <v>17</v>
      </c>
      <c r="P15" s="209">
        <v>11</v>
      </c>
      <c r="Q15" s="209">
        <v>6</v>
      </c>
      <c r="R15" s="209">
        <v>41</v>
      </c>
      <c r="T15" s="112"/>
    </row>
    <row r="16" spans="1:20" ht="19.5" customHeight="1" x14ac:dyDescent="0.25">
      <c r="B16" s="111"/>
      <c r="C16" s="247" t="s">
        <v>175</v>
      </c>
      <c r="D16" s="254">
        <v>1.0000000000000004</v>
      </c>
      <c r="E16" s="254">
        <v>1.0000000000000004</v>
      </c>
      <c r="F16" s="254">
        <v>1.0000000000000004</v>
      </c>
      <c r="G16" s="254">
        <v>1.0000000000000004</v>
      </c>
      <c r="H16" s="255">
        <v>1.0000000000000002</v>
      </c>
      <c r="J16" s="112"/>
      <c r="L16" s="111"/>
      <c r="M16" s="250" t="s">
        <v>175</v>
      </c>
      <c r="N16" s="209">
        <v>4</v>
      </c>
      <c r="O16" s="209">
        <v>5</v>
      </c>
      <c r="P16" s="209">
        <v>2</v>
      </c>
      <c r="Q16" s="209">
        <v>5</v>
      </c>
      <c r="R16" s="209">
        <v>16</v>
      </c>
      <c r="T16" s="112"/>
    </row>
    <row r="17" spans="2:20" ht="19.5" customHeight="1" x14ac:dyDescent="0.25">
      <c r="B17" s="111"/>
      <c r="C17" s="247" t="s">
        <v>176</v>
      </c>
      <c r="D17" s="254">
        <v>1.0000000000000002</v>
      </c>
      <c r="E17" s="254">
        <v>1.0000000000000002</v>
      </c>
      <c r="F17" s="254">
        <v>1.0000000000000002</v>
      </c>
      <c r="G17" s="254">
        <v>0.99218750000000022</v>
      </c>
      <c r="H17" s="255">
        <v>0.99821428571428594</v>
      </c>
      <c r="J17" s="112"/>
      <c r="L17" s="111"/>
      <c r="M17" s="250" t="s">
        <v>176</v>
      </c>
      <c r="N17" s="209">
        <v>6</v>
      </c>
      <c r="O17" s="209">
        <v>10</v>
      </c>
      <c r="P17" s="209">
        <v>11</v>
      </c>
      <c r="Q17" s="209">
        <v>8</v>
      </c>
      <c r="R17" s="209">
        <v>35</v>
      </c>
      <c r="T17" s="112"/>
    </row>
    <row r="18" spans="2:20" ht="19.5" customHeight="1" x14ac:dyDescent="0.25">
      <c r="B18" s="111"/>
      <c r="C18" s="247" t="s">
        <v>177</v>
      </c>
      <c r="D18" s="254">
        <v>1.0000000000000004</v>
      </c>
      <c r="E18" s="254">
        <v>1.0000000000000004</v>
      </c>
      <c r="F18" s="254">
        <v>0.96875000000000044</v>
      </c>
      <c r="G18" s="254">
        <v>1.0000000000000004</v>
      </c>
      <c r="H18" s="255">
        <v>0.99166666666666681</v>
      </c>
      <c r="J18" s="112"/>
      <c r="L18" s="111"/>
      <c r="M18" s="250" t="s">
        <v>177</v>
      </c>
      <c r="N18" s="209">
        <v>3</v>
      </c>
      <c r="O18" s="209">
        <v>4</v>
      </c>
      <c r="P18" s="209">
        <v>4</v>
      </c>
      <c r="Q18" s="209">
        <v>4</v>
      </c>
      <c r="R18" s="209">
        <v>15</v>
      </c>
      <c r="T18" s="112"/>
    </row>
    <row r="19" spans="2:20" ht="19.5" customHeight="1" x14ac:dyDescent="0.25">
      <c r="B19" s="111"/>
      <c r="C19" s="247" t="s">
        <v>178</v>
      </c>
      <c r="D19" s="254">
        <v>1.0000000000000002</v>
      </c>
      <c r="E19" s="254">
        <v>1.0000000000000002</v>
      </c>
      <c r="F19" s="254">
        <v>1.0000000000000004</v>
      </c>
      <c r="G19" s="254">
        <v>1.0000000000000002</v>
      </c>
      <c r="H19" s="255">
        <v>1.0000000000000002</v>
      </c>
      <c r="J19" s="112"/>
      <c r="L19" s="111"/>
      <c r="M19" s="250" t="s">
        <v>178</v>
      </c>
      <c r="N19" s="209">
        <v>6</v>
      </c>
      <c r="O19" s="209">
        <v>9</v>
      </c>
      <c r="P19" s="209">
        <v>3</v>
      </c>
      <c r="Q19" s="209">
        <v>8</v>
      </c>
      <c r="R19" s="209">
        <v>26</v>
      </c>
      <c r="T19" s="112"/>
    </row>
    <row r="20" spans="2:20" ht="19.5" customHeight="1" x14ac:dyDescent="0.25">
      <c r="B20" s="111"/>
      <c r="C20" s="247" t="s">
        <v>179</v>
      </c>
      <c r="D20" s="254">
        <v>1.0000000000000004</v>
      </c>
      <c r="E20" s="254">
        <v>1.0000000000000002</v>
      </c>
      <c r="F20" s="254">
        <v>1.0000000000000004</v>
      </c>
      <c r="G20" s="254">
        <v>1.0000000000000004</v>
      </c>
      <c r="H20" s="255">
        <v>1.0000000000000002</v>
      </c>
      <c r="J20" s="112"/>
      <c r="L20" s="111"/>
      <c r="M20" s="250" t="s">
        <v>179</v>
      </c>
      <c r="N20" s="209">
        <v>3</v>
      </c>
      <c r="O20" s="209">
        <v>7</v>
      </c>
      <c r="P20" s="209">
        <v>3</v>
      </c>
      <c r="Q20" s="209">
        <v>5</v>
      </c>
      <c r="R20" s="209">
        <v>18</v>
      </c>
      <c r="T20" s="112"/>
    </row>
    <row r="21" spans="2:20" ht="19.5" customHeight="1" x14ac:dyDescent="0.25">
      <c r="B21" s="111"/>
      <c r="C21" s="247" t="s">
        <v>180</v>
      </c>
      <c r="D21" s="254">
        <v>1.0000000000000004</v>
      </c>
      <c r="E21" s="254">
        <v>1.0000000000000004</v>
      </c>
      <c r="F21" s="254">
        <v>1.0000000000000004</v>
      </c>
      <c r="G21" s="254">
        <v>1.0000000000000004</v>
      </c>
      <c r="H21" s="255">
        <v>1.0000000000000002</v>
      </c>
      <c r="J21" s="112"/>
      <c r="L21" s="111"/>
      <c r="M21" s="250" t="s">
        <v>180</v>
      </c>
      <c r="N21" s="209">
        <v>3</v>
      </c>
      <c r="O21" s="209">
        <v>5</v>
      </c>
      <c r="P21" s="209">
        <v>4</v>
      </c>
      <c r="Q21" s="209">
        <v>2</v>
      </c>
      <c r="R21" s="209">
        <v>14</v>
      </c>
      <c r="T21" s="112"/>
    </row>
    <row r="22" spans="2:20" ht="19.5" customHeight="1" x14ac:dyDescent="0.25">
      <c r="B22" s="111"/>
      <c r="C22" s="247" t="s">
        <v>201</v>
      </c>
      <c r="D22" s="254">
        <v>1.0000000000000004</v>
      </c>
      <c r="E22" s="254">
        <v>1.0000000000000004</v>
      </c>
      <c r="F22" s="254">
        <v>1.0000000000000004</v>
      </c>
      <c r="G22" s="254">
        <v>1.0000000000000004</v>
      </c>
      <c r="H22" s="255">
        <v>1.0000000000000002</v>
      </c>
      <c r="J22" s="112"/>
      <c r="L22" s="111"/>
      <c r="M22" s="250" t="s">
        <v>201</v>
      </c>
      <c r="N22" s="522">
        <v>3</v>
      </c>
      <c r="O22" s="522">
        <v>5</v>
      </c>
      <c r="P22" s="522">
        <v>4</v>
      </c>
      <c r="Q22" s="522">
        <v>4</v>
      </c>
      <c r="R22" s="522">
        <v>16</v>
      </c>
      <c r="T22" s="112"/>
    </row>
    <row r="23" spans="2:20" ht="19.5" customHeight="1" x14ac:dyDescent="0.25">
      <c r="B23" s="111"/>
      <c r="C23" s="247" t="s">
        <v>204</v>
      </c>
      <c r="D23" s="254">
        <v>1.0000000000000002</v>
      </c>
      <c r="E23" s="254">
        <v>1.0000000000000002</v>
      </c>
      <c r="F23" s="254">
        <v>1.0000000000000002</v>
      </c>
      <c r="G23" s="254">
        <v>1.0000000000000002</v>
      </c>
      <c r="H23" s="255">
        <v>1.0000000000000002</v>
      </c>
      <c r="J23" s="112"/>
      <c r="L23" s="111"/>
      <c r="M23" s="250" t="s">
        <v>204</v>
      </c>
      <c r="N23" s="209">
        <v>6</v>
      </c>
      <c r="O23" s="209">
        <v>10</v>
      </c>
      <c r="P23" s="209">
        <v>11</v>
      </c>
      <c r="Q23" s="209">
        <v>8</v>
      </c>
      <c r="R23" s="209">
        <v>35</v>
      </c>
      <c r="T23" s="112"/>
    </row>
    <row r="24" spans="2:20" ht="19.5" customHeight="1" x14ac:dyDescent="0.25">
      <c r="B24" s="111"/>
      <c r="C24" s="247" t="s">
        <v>205</v>
      </c>
      <c r="D24" s="254">
        <v>1.0000000000000002</v>
      </c>
      <c r="E24" s="254">
        <v>1.0000000000000002</v>
      </c>
      <c r="F24" s="254">
        <v>1.0000000000000002</v>
      </c>
      <c r="G24" s="254">
        <v>1.0000000000000002</v>
      </c>
      <c r="H24" s="255">
        <v>1.0000000000000002</v>
      </c>
      <c r="J24" s="112"/>
      <c r="L24" s="111"/>
      <c r="M24" s="250" t="s">
        <v>205</v>
      </c>
      <c r="N24" s="209">
        <v>6</v>
      </c>
      <c r="O24" s="209">
        <v>10</v>
      </c>
      <c r="P24" s="209">
        <v>10</v>
      </c>
      <c r="Q24" s="209">
        <v>8</v>
      </c>
      <c r="R24" s="209">
        <v>34</v>
      </c>
      <c r="T24" s="112"/>
    </row>
    <row r="25" spans="2:20" ht="19.5" customHeight="1" x14ac:dyDescent="0.25">
      <c r="B25" s="111"/>
      <c r="C25" s="247" t="s">
        <v>181</v>
      </c>
      <c r="D25" s="254">
        <v>0.98958333333333359</v>
      </c>
      <c r="E25" s="254">
        <v>1.0000000000000002</v>
      </c>
      <c r="F25" s="254">
        <v>1.0000000000000002</v>
      </c>
      <c r="G25" s="254">
        <v>0.99218750000000022</v>
      </c>
      <c r="H25" s="255">
        <v>0.99621212121212144</v>
      </c>
      <c r="J25" s="112"/>
      <c r="L25" s="111"/>
      <c r="M25" s="250" t="s">
        <v>181</v>
      </c>
      <c r="N25" s="209">
        <v>6</v>
      </c>
      <c r="O25" s="209">
        <v>10</v>
      </c>
      <c r="P25" s="209">
        <v>9</v>
      </c>
      <c r="Q25" s="209">
        <v>8</v>
      </c>
      <c r="R25" s="209">
        <v>33</v>
      </c>
      <c r="T25" s="112"/>
    </row>
    <row r="26" spans="2:20" ht="20.25" customHeight="1" x14ac:dyDescent="0.25">
      <c r="B26" s="111"/>
      <c r="C26" s="247" t="s">
        <v>182</v>
      </c>
      <c r="D26" s="254">
        <v>0.97916666666666707</v>
      </c>
      <c r="E26" s="254">
        <v>1.0000000000000004</v>
      </c>
      <c r="F26" s="254">
        <v>0.98437500000000044</v>
      </c>
      <c r="G26" s="254">
        <v>1.0000000000000004</v>
      </c>
      <c r="H26" s="255">
        <v>0.99107142857142871</v>
      </c>
      <c r="J26" s="112"/>
      <c r="L26" s="111"/>
      <c r="M26" s="250" t="s">
        <v>182</v>
      </c>
      <c r="N26" s="209">
        <v>3</v>
      </c>
      <c r="O26" s="209">
        <v>5</v>
      </c>
      <c r="P26" s="209">
        <v>4</v>
      </c>
      <c r="Q26" s="209">
        <v>2</v>
      </c>
      <c r="R26" s="209">
        <v>14</v>
      </c>
      <c r="T26" s="112"/>
    </row>
    <row r="27" spans="2:20" ht="20.25" customHeight="1" x14ac:dyDescent="0.25">
      <c r="B27" s="111"/>
      <c r="C27" s="247" t="s">
        <v>183</v>
      </c>
      <c r="D27" s="254">
        <v>1.0000000000000004</v>
      </c>
      <c r="E27" s="254">
        <v>1.0000000000000002</v>
      </c>
      <c r="F27" s="254">
        <v>1.0000000000000004</v>
      </c>
      <c r="G27" s="254">
        <v>1.0000000000000004</v>
      </c>
      <c r="H27" s="255">
        <v>1.0000000000000002</v>
      </c>
      <c r="J27" s="112"/>
      <c r="L27" s="111"/>
      <c r="M27" s="250" t="s">
        <v>183</v>
      </c>
      <c r="N27" s="209">
        <v>3</v>
      </c>
      <c r="O27" s="209">
        <v>6</v>
      </c>
      <c r="P27" s="209">
        <v>4</v>
      </c>
      <c r="Q27" s="209">
        <v>5</v>
      </c>
      <c r="R27" s="209">
        <v>18</v>
      </c>
      <c r="T27" s="112"/>
    </row>
    <row r="28" spans="2:20" ht="20.25" customHeight="1" thickBot="1" x14ac:dyDescent="0.3">
      <c r="B28" s="111"/>
      <c r="C28" s="248" t="s">
        <v>206</v>
      </c>
      <c r="D28" s="254">
        <v>1.0000000000000004</v>
      </c>
      <c r="E28" s="254">
        <v>1.0000000000000002</v>
      </c>
      <c r="F28" s="254">
        <v>1.0000000000000004</v>
      </c>
      <c r="G28" s="254">
        <v>1.0000000000000002</v>
      </c>
      <c r="H28" s="255">
        <v>1.0000000000000002</v>
      </c>
      <c r="J28" s="112"/>
      <c r="L28" s="111"/>
      <c r="M28" s="251" t="s">
        <v>206</v>
      </c>
      <c r="N28" s="241">
        <v>4</v>
      </c>
      <c r="O28" s="241">
        <v>6</v>
      </c>
      <c r="P28" s="241">
        <v>5</v>
      </c>
      <c r="Q28" s="241">
        <v>7</v>
      </c>
      <c r="R28" s="241">
        <v>22</v>
      </c>
      <c r="T28" s="112"/>
    </row>
    <row r="29" spans="2:20" ht="20.25" customHeight="1" thickBot="1" x14ac:dyDescent="0.3">
      <c r="B29" s="111"/>
      <c r="C29" s="119" t="s">
        <v>89</v>
      </c>
      <c r="D29" s="244">
        <v>0.99841772151898756</v>
      </c>
      <c r="E29" s="244">
        <v>1.0000000000000002</v>
      </c>
      <c r="F29" s="244">
        <v>0.99723451327433643</v>
      </c>
      <c r="G29" s="244">
        <v>0.99772727272727291</v>
      </c>
      <c r="H29" s="245">
        <v>0.99845505617977537</v>
      </c>
      <c r="J29" s="112"/>
      <c r="L29" s="111"/>
      <c r="M29" s="119" t="s">
        <v>89</v>
      </c>
      <c r="N29" s="236">
        <v>79</v>
      </c>
      <c r="O29" s="258">
        <v>143</v>
      </c>
      <c r="P29" s="258">
        <v>113</v>
      </c>
      <c r="Q29" s="258">
        <v>110</v>
      </c>
      <c r="R29" s="235">
        <v>445</v>
      </c>
      <c r="T29" s="112"/>
    </row>
    <row r="30" spans="2:20" ht="26.25" customHeight="1" x14ac:dyDescent="0.25">
      <c r="B30" s="210"/>
      <c r="C30"/>
      <c r="D30"/>
      <c r="E30"/>
      <c r="F30"/>
      <c r="G30"/>
      <c r="J30" s="211"/>
      <c r="L30" s="111"/>
      <c r="T30" s="112"/>
    </row>
    <row r="31" spans="2:20" ht="15.75" thickBot="1" x14ac:dyDescent="0.3">
      <c r="B31" s="183"/>
      <c r="C31" s="114"/>
      <c r="D31" s="114"/>
      <c r="E31" s="114"/>
      <c r="F31" s="114"/>
      <c r="G31" s="114"/>
      <c r="H31" s="114"/>
      <c r="I31" s="114"/>
      <c r="J31" s="115"/>
      <c r="L31" s="113"/>
      <c r="M31" s="114"/>
      <c r="N31" s="114"/>
      <c r="O31" s="114"/>
      <c r="P31" s="114"/>
      <c r="Q31" s="114"/>
      <c r="R31" s="114"/>
      <c r="S31" s="114"/>
      <c r="T31" s="115"/>
    </row>
    <row r="32" spans="2:20" x14ac:dyDescent="0.25">
      <c r="B32" s="127"/>
      <c r="C32"/>
      <c r="D32"/>
      <c r="E32"/>
      <c r="F32"/>
      <c r="G32"/>
    </row>
    <row r="33" spans="2:7" x14ac:dyDescent="0.25">
      <c r="B33" s="127"/>
      <c r="C33"/>
      <c r="D33"/>
      <c r="E33"/>
      <c r="F33"/>
      <c r="G33"/>
    </row>
    <row r="34" spans="2:7" x14ac:dyDescent="0.25">
      <c r="B34" s="127"/>
      <c r="C34"/>
      <c r="D34"/>
      <c r="E34"/>
      <c r="F34"/>
      <c r="G34"/>
    </row>
    <row r="35" spans="2:7" x14ac:dyDescent="0.25">
      <c r="B35" s="127"/>
      <c r="C35"/>
      <c r="D35"/>
      <c r="E35"/>
      <c r="F35"/>
      <c r="G35"/>
    </row>
    <row r="36" spans="2:7" x14ac:dyDescent="0.25">
      <c r="C36"/>
      <c r="D36"/>
      <c r="E36"/>
      <c r="F36"/>
      <c r="G36"/>
    </row>
    <row r="37" spans="2:7" x14ac:dyDescent="0.25">
      <c r="C37"/>
      <c r="D37"/>
      <c r="E37"/>
      <c r="F37"/>
      <c r="G37"/>
    </row>
    <row r="38" spans="2:7" x14ac:dyDescent="0.25">
      <c r="C38"/>
      <c r="D38"/>
      <c r="E38"/>
      <c r="F38"/>
      <c r="G38"/>
    </row>
    <row r="39" spans="2:7" x14ac:dyDescent="0.25">
      <c r="C39"/>
      <c r="D39"/>
      <c r="E39"/>
      <c r="F39"/>
      <c r="G39"/>
    </row>
    <row r="40" spans="2:7" x14ac:dyDescent="0.25">
      <c r="C40"/>
      <c r="D40"/>
      <c r="E40"/>
      <c r="F40"/>
      <c r="G40"/>
    </row>
    <row r="41" spans="2:7" x14ac:dyDescent="0.25">
      <c r="C41"/>
      <c r="D41"/>
      <c r="E41"/>
      <c r="F41"/>
      <c r="G41"/>
    </row>
    <row r="42" spans="2:7" x14ac:dyDescent="0.25">
      <c r="C42"/>
      <c r="D42"/>
      <c r="E42"/>
      <c r="F42"/>
      <c r="G42"/>
    </row>
    <row r="43" spans="2:7" ht="15.75" thickBot="1" x14ac:dyDescent="0.3">
      <c r="C43"/>
      <c r="D43"/>
      <c r="E43"/>
      <c r="F43"/>
      <c r="G43"/>
    </row>
    <row r="44" spans="2:7" ht="15.75" thickBot="1" x14ac:dyDescent="0.3">
      <c r="C44"/>
      <c r="D44"/>
      <c r="E44"/>
      <c r="F44"/>
      <c r="G44"/>
    </row>
    <row r="45" spans="2:7" x14ac:dyDescent="0.25">
      <c r="C45"/>
      <c r="D45"/>
      <c r="E45"/>
      <c r="F45"/>
      <c r="G45"/>
    </row>
    <row r="46" spans="2:7" ht="15.75" thickBot="1" x14ac:dyDescent="0.3">
      <c r="C46"/>
      <c r="D46"/>
      <c r="E46"/>
      <c r="F46"/>
      <c r="G46"/>
    </row>
    <row r="47" spans="2:7" ht="15.75" thickBot="1" x14ac:dyDescent="0.3">
      <c r="C47"/>
      <c r="D47"/>
      <c r="E47"/>
      <c r="F47"/>
      <c r="G47"/>
    </row>
    <row r="48" spans="2:7" ht="15.75" thickBot="1" x14ac:dyDescent="0.3">
      <c r="C48"/>
      <c r="D48"/>
      <c r="E48"/>
      <c r="F48"/>
      <c r="G48"/>
    </row>
    <row r="49" customFormat="1" ht="15.75" thickBot="1" x14ac:dyDescent="0.3"/>
    <row r="50" customFormat="1" ht="15.75" thickBot="1" x14ac:dyDescent="0.3"/>
  </sheetData>
  <mergeCells count="3">
    <mergeCell ref="L3:T3"/>
    <mergeCell ref="A1:T1"/>
    <mergeCell ref="B3:J3"/>
  </mergeCell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p I F / V p Y v 3 s q k A A A A 9 g A A A B I A H A B D b 2 5 m a W c v U G F j a 2 F n Z S 5 4 b W w g o h g A K K A U A A A A A A A A A A A A A A A A A A A A A A A A A A A A h Y 9 N D o I w G E S v Q r q n f 8 T E k I + y Y C v R x M S 4 b U r F R i i G F s v d X H g k r y B G U X c u 5 8 1 b z N y v N 8 j H t o k u u n e m s x l i m K J I W 9 V V x t Y Z G v w h X q J c w E a q k 6 x 1 N M n W p a O r M n T 0 / p w S E k L A I c F d X x N O K S P 7 c r V V R 9 1 K 9 J H N f z k 2 1 n l p l U Y C d q 8 x g m P G O F 7 w B F M g M 4 T S 2 K / A p 7 3 P 9 g d C M T R + 6 L X Q L i 7 W Q O Y I 5 P 1 B P A B Q S w M E F A A C A A g A p I F / 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S B f 1 Y o i k e 4 D g A A A B E A A A A T A B w A R m 9 y b X V s Y X M v U 2 V j d G l v b j E u b S C i G A A o o B Q A A A A A A A A A A A A A A A A A A A A A A A A A A A A r T k 0 u y c z P U w i G 0 I b W A F B L A Q I t A B Q A A g A I A K S B f 1 a W L 9 7 K p A A A A P Y A A A A S A A A A A A A A A A A A A A A A A A A A A A B D b 2 5 m a W c v U G F j a 2 F n Z S 5 4 b W x Q S w E C L Q A U A A I A C A C k g X 9 W D 8 r p q 6 Q A A A D p A A A A E w A A A A A A A A A A A A A A A A D w A A A A W 0 N v b n R l b n R f V H l w Z X N d L n h t b F B L A Q I t A B Q A A g A I A K S B f 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N l a + 0 Z T A 6 R Y Z 0 r 6 W Z V g Z B A A A A A A I A A A A A A A N m A A D A A A A A E A A A A A f 1 b e Y q S o e d 9 F P K u 9 0 R + E Q A A A A A B I A A A K A A A A A Q A A A A D 2 c w n / q o 5 0 0 J L x j Q m 2 r y v V A A A A B M 6 e O G D q S r I T L g j K z f V O A b S I G A d k / Z t v A + i R t + 7 Z z S b E I p H x O 9 E 2 T x a t / 7 j Q 4 h q m e Y m P G a + J y 4 7 e r s M e I H A 4 r + H Q V V 7 s E Q I r 0 a S T 4 q W l j Y 5 h Q A A A B t H v k P S m s V c X 3 U 2 B A h i r s Z K F J + n w = = < / D a t a M a s h u p > 
</file>

<file path=customXml/itemProps1.xml><?xml version="1.0" encoding="utf-8"?>
<ds:datastoreItem xmlns:ds="http://schemas.openxmlformats.org/officeDocument/2006/customXml" ds:itemID="{CDAB05CD-DC45-48A2-B818-20DDEFA7C75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Lista</vt:lpstr>
      <vt:lpstr>Score BD</vt:lpstr>
      <vt:lpstr>Matrices Calidad </vt:lpstr>
      <vt:lpstr>ACM</vt:lpstr>
      <vt:lpstr>Retroalimentación</vt:lpstr>
      <vt:lpstr>Score Variable general</vt:lpstr>
      <vt:lpstr>Reporte general</vt:lpstr>
      <vt:lpstr>Reporte por asesor </vt:lpstr>
      <vt:lpstr>ACM!Área_de_impresión</vt:lpstr>
      <vt:lpstr>Retroalimentación!Área_de_impresión</vt:lpstr>
      <vt:lpstr>Asesores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Chamorro</dc:creator>
  <cp:keywords/>
  <dc:description/>
  <cp:lastModifiedBy>John Sebastian Roncancio Avendaño</cp:lastModifiedBy>
  <cp:lastPrinted>2023-03-07T14:06:41Z</cp:lastPrinted>
  <dcterms:created xsi:type="dcterms:W3CDTF">2020-05-19T16:53:19Z</dcterms:created>
  <dcterms:modified xsi:type="dcterms:W3CDTF">2025-11-28T17:31:12Z</dcterms:modified>
  <cp:category/>
</cp:coreProperties>
</file>