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eduardo.fuentes\Desktop\PROCESO DE HERRAMIENTAS\ENVIO FINAL CON CORRECCIONES\"/>
    </mc:Choice>
  </mc:AlternateContent>
  <bookViews>
    <workbookView xWindow="0" yWindow="0" windowWidth="16815" windowHeight="7650" activeTab="3"/>
  </bookViews>
  <sheets>
    <sheet name="FICHA TECNICA" sheetId="1" r:id="rId1"/>
    <sheet name="ESTUDI DE MERCADO" sheetId="16" state="hidden" r:id="rId2"/>
    <sheet name="LOTE 1" sheetId="20" r:id="rId3"/>
    <sheet name="LOTE2" sheetId="21" r:id="rId4"/>
    <sheet name="Hoja4" sheetId="22" r:id="rId5"/>
    <sheet name="Hoja1" sheetId="8" state="hidden" r:id="rId6"/>
    <sheet name="Hoja2" sheetId="9" state="hidden" r:id="rId7"/>
    <sheet name="DISERRA" sheetId="5" state="hidden" r:id="rId8"/>
    <sheet name="UT SOLUCIONES" sheetId="3" state="hidden" r:id="rId9"/>
    <sheet name="NELSON ESPITIA" sheetId="4" state="hidden" r:id="rId10"/>
    <sheet name="SOLICITUD DE COTIZACION" sheetId="7" state="hidden" r:id="rId11"/>
    <sheet name="Hoja3" sheetId="13" state="hidden" r:id="rId12"/>
  </sheets>
  <externalReferences>
    <externalReference r:id="rId13"/>
  </externalReferences>
  <definedNames>
    <definedName name="_xlnm._FilterDatabase" localSheetId="1" hidden="1">'ESTUDI DE MERCADO'!$A$2:$AA$114</definedName>
    <definedName name="_xlnm._FilterDatabase" localSheetId="0" hidden="1">'FICHA TECNICA'!$A$2:$V$112</definedName>
    <definedName name="_xlnm._FilterDatabase" localSheetId="2" hidden="1">'LOTE 1'!$A$2:$AA$41</definedName>
    <definedName name="_xlnm._FilterDatabase" localSheetId="3" hidden="1">LOTE2!$A$11:$AA$11</definedName>
    <definedName name="_xlnm._FilterDatabase" localSheetId="9" hidden="1">'NELSON ESPITIA'!$A$1:$P$107</definedName>
    <definedName name="_xlnm._FilterDatabase" localSheetId="10" hidden="1">'SOLICITUD DE COTIZACION'!$A$1:$F$94</definedName>
    <definedName name="_xlnm.Print_Area" localSheetId="9">'NELSON ESPITIA'!$A$1:$D$11</definedName>
    <definedName name="RUBROS">[1]RUBROS!$A$1:$K$659</definedName>
    <definedName name="_xlnm.Print_Titles" localSheetId="9">'NELSON ESPITIA'!$1:$1</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J78" i="21" l="1"/>
  <c r="Z68" i="21"/>
  <c r="Z66" i="21"/>
  <c r="Z65" i="21"/>
  <c r="Z63" i="21"/>
  <c r="Z62" i="21"/>
  <c r="Z60" i="21"/>
  <c r="Z59" i="21"/>
  <c r="Z57" i="21"/>
  <c r="Z54" i="21"/>
  <c r="Z55" i="21"/>
  <c r="Z53" i="21"/>
  <c r="Z43" i="21"/>
  <c r="Z42" i="21"/>
  <c r="Z40" i="21"/>
  <c r="Z38" i="21"/>
  <c r="Z36" i="21"/>
  <c r="Z35" i="21"/>
  <c r="Z34" i="21"/>
  <c r="Z27" i="21"/>
  <c r="Z26" i="21"/>
  <c r="Z25" i="21"/>
  <c r="Z24" i="21"/>
  <c r="Z23" i="21"/>
  <c r="Z22" i="21"/>
  <c r="Z21" i="21"/>
  <c r="Z16" i="21"/>
  <c r="Z15" i="21"/>
  <c r="Z14" i="21"/>
  <c r="Z13" i="21"/>
  <c r="Z12" i="21"/>
  <c r="Z4" i="21" l="1"/>
  <c r="G11" i="21" l="1"/>
  <c r="Q80" i="21"/>
  <c r="Q79" i="21"/>
  <c r="Q78" i="21"/>
  <c r="Q77" i="21"/>
  <c r="Q76" i="21"/>
  <c r="Q74" i="21"/>
  <c r="Q72" i="21"/>
  <c r="Q70" i="21"/>
  <c r="Q68" i="21"/>
  <c r="Q67" i="21"/>
  <c r="Q66" i="21"/>
  <c r="Q65" i="21"/>
  <c r="Q64" i="21"/>
  <c r="Q63" i="21"/>
  <c r="Q62" i="21"/>
  <c r="Q61" i="21"/>
  <c r="Q60" i="21"/>
  <c r="Q59" i="21"/>
  <c r="Q58" i="21"/>
  <c r="Q57" i="21"/>
  <c r="Q55" i="21"/>
  <c r="Q54" i="21"/>
  <c r="Q53" i="21"/>
  <c r="Q51" i="21"/>
  <c r="Q49" i="21"/>
  <c r="Q48" i="21"/>
  <c r="Q46" i="21"/>
  <c r="Q44" i="21"/>
  <c r="Q42" i="21"/>
  <c r="Q40" i="21"/>
  <c r="Q39" i="21"/>
  <c r="Q38" i="21"/>
  <c r="Q37" i="21"/>
  <c r="Q36" i="21"/>
  <c r="Q35" i="21"/>
  <c r="Q34" i="21"/>
  <c r="Q33" i="21"/>
  <c r="Q32" i="21"/>
  <c r="Q31" i="21"/>
  <c r="Q30" i="21"/>
  <c r="Q29" i="21"/>
  <c r="Q27" i="21"/>
  <c r="Q26" i="21"/>
  <c r="Q25" i="21"/>
  <c r="Q24" i="21"/>
  <c r="Q23" i="21"/>
  <c r="Q22" i="21"/>
  <c r="Q21" i="21"/>
  <c r="Q20" i="21"/>
  <c r="Q19" i="21"/>
  <c r="Q18" i="21"/>
  <c r="Q17" i="21"/>
  <c r="Q16" i="21"/>
  <c r="Q15" i="21"/>
  <c r="Q14" i="21"/>
  <c r="Q13" i="21"/>
  <c r="Q12" i="21"/>
  <c r="Q10" i="21"/>
  <c r="Q9" i="21"/>
  <c r="Q7" i="21"/>
  <c r="Q6" i="21"/>
  <c r="Q4" i="21"/>
  <c r="S38" i="20"/>
  <c r="O38" i="20"/>
  <c r="S36" i="20"/>
  <c r="O36" i="20"/>
  <c r="S34" i="20"/>
  <c r="O34" i="20"/>
  <c r="O33" i="20"/>
  <c r="O31" i="20"/>
  <c r="S31" i="20"/>
  <c r="S29" i="20"/>
  <c r="O29" i="20"/>
  <c r="S28" i="20"/>
  <c r="O28" i="20"/>
  <c r="S27" i="20"/>
  <c r="O27" i="20"/>
  <c r="S22" i="20"/>
  <c r="S26" i="20"/>
  <c r="O26" i="20"/>
  <c r="S24" i="20"/>
  <c r="O24" i="20"/>
  <c r="O22" i="20"/>
  <c r="S21" i="20"/>
  <c r="O21" i="20"/>
  <c r="S19" i="20"/>
  <c r="O19" i="20"/>
  <c r="S18" i="20"/>
  <c r="O18" i="20"/>
  <c r="S17" i="20"/>
  <c r="S16" i="20"/>
  <c r="S15" i="20"/>
  <c r="O17" i="20"/>
  <c r="O16" i="20"/>
  <c r="O15" i="20"/>
  <c r="S12" i="20"/>
  <c r="S13" i="20"/>
  <c r="S14" i="20"/>
  <c r="O14" i="20"/>
  <c r="O13" i="20"/>
  <c r="O12" i="20"/>
  <c r="S11" i="20"/>
  <c r="O11" i="20"/>
  <c r="S9" i="20"/>
  <c r="S8" i="20"/>
  <c r="S7" i="20"/>
  <c r="O9" i="20"/>
  <c r="O8" i="20"/>
  <c r="O7" i="20"/>
  <c r="O5" i="20"/>
  <c r="S4" i="20"/>
  <c r="O4" i="20"/>
  <c r="G75" i="21"/>
  <c r="G71" i="21"/>
  <c r="G69" i="21"/>
  <c r="G56" i="21"/>
  <c r="G52" i="21"/>
  <c r="G50" i="21"/>
  <c r="G47" i="21"/>
  <c r="G20" i="20"/>
  <c r="G37" i="20"/>
  <c r="G35" i="20"/>
  <c r="G32" i="20"/>
  <c r="G30" i="20"/>
  <c r="G25" i="20"/>
  <c r="I38" i="20"/>
  <c r="M80" i="21"/>
  <c r="K80" i="21"/>
  <c r="I80" i="21"/>
  <c r="K79" i="21"/>
  <c r="I79" i="21"/>
  <c r="M78" i="21"/>
  <c r="K78" i="21"/>
  <c r="K77" i="21"/>
  <c r="M77" i="21"/>
  <c r="M76" i="21"/>
  <c r="K76" i="21"/>
  <c r="I78" i="21"/>
  <c r="I77" i="21"/>
  <c r="I76" i="21"/>
  <c r="M74" i="21"/>
  <c r="K74" i="21"/>
  <c r="I74" i="21"/>
  <c r="M72" i="21"/>
  <c r="K72" i="21"/>
  <c r="I72" i="21"/>
  <c r="K70" i="21"/>
  <c r="I70" i="21"/>
  <c r="I68" i="21"/>
  <c r="K68" i="21"/>
  <c r="M68" i="21"/>
  <c r="M66" i="21"/>
  <c r="M65" i="21"/>
  <c r="M64" i="21"/>
  <c r="M62" i="21"/>
  <c r="M67" i="21"/>
  <c r="K67" i="21"/>
  <c r="K66" i="21"/>
  <c r="K65" i="21"/>
  <c r="K64" i="21"/>
  <c r="K63" i="21"/>
  <c r="K62" i="21"/>
  <c r="I66" i="21"/>
  <c r="I65" i="21"/>
  <c r="I64" i="21"/>
  <c r="I63" i="21"/>
  <c r="I62" i="21"/>
  <c r="M54" i="21"/>
  <c r="M53" i="21"/>
  <c r="K53" i="21"/>
  <c r="K54" i="21"/>
  <c r="K55" i="21"/>
  <c r="I55" i="21"/>
  <c r="I53" i="21"/>
  <c r="K51" i="21"/>
  <c r="I51" i="21"/>
  <c r="K49" i="21"/>
  <c r="I49" i="21"/>
  <c r="M48" i="21"/>
  <c r="K48" i="21"/>
  <c r="I48" i="21"/>
  <c r="M46" i="21"/>
  <c r="K46" i="21"/>
  <c r="I46" i="21"/>
  <c r="K45" i="21"/>
  <c r="I45" i="21"/>
  <c r="K44" i="21"/>
  <c r="I44" i="21"/>
  <c r="M43" i="21"/>
  <c r="K43" i="21"/>
  <c r="I43" i="21"/>
  <c r="M42" i="21"/>
  <c r="K42" i="21"/>
  <c r="I42" i="21"/>
  <c r="M41" i="21"/>
  <c r="K41" i="21"/>
  <c r="I41" i="21"/>
  <c r="M40" i="21"/>
  <c r="K40" i="21"/>
  <c r="I40" i="21"/>
  <c r="I39" i="21"/>
  <c r="K39" i="21"/>
  <c r="M38" i="21"/>
  <c r="K38" i="21"/>
  <c r="I38" i="21"/>
  <c r="M37" i="21"/>
  <c r="K37" i="21"/>
  <c r="I37" i="21"/>
  <c r="K36" i="21"/>
  <c r="I36" i="21"/>
  <c r="I35" i="21"/>
  <c r="M34" i="21"/>
  <c r="K33" i="21"/>
  <c r="M29" i="21"/>
  <c r="K27" i="21"/>
  <c r="K26" i="21"/>
  <c r="K25" i="21"/>
  <c r="M21" i="21"/>
  <c r="M33" i="21"/>
  <c r="K34" i="21"/>
  <c r="I34" i="21"/>
  <c r="I33" i="21"/>
  <c r="K32" i="21"/>
  <c r="I32" i="21"/>
  <c r="K31" i="21"/>
  <c r="I31" i="21"/>
  <c r="M30" i="21"/>
  <c r="K30" i="21"/>
  <c r="K29" i="21"/>
  <c r="I29" i="21"/>
  <c r="K28" i="21"/>
  <c r="M27" i="21"/>
  <c r="I26" i="21"/>
  <c r="I25" i="21"/>
  <c r="M24" i="21"/>
  <c r="K24" i="21"/>
  <c r="I24" i="21"/>
  <c r="M23" i="21"/>
  <c r="K23" i="21"/>
  <c r="I23" i="21"/>
  <c r="M22" i="21"/>
  <c r="K22" i="21"/>
  <c r="I22" i="21"/>
  <c r="K21" i="21"/>
  <c r="I21" i="21"/>
  <c r="K20" i="21"/>
  <c r="I20" i="21"/>
  <c r="K19" i="21"/>
  <c r="I19" i="21"/>
  <c r="K18" i="21"/>
  <c r="I18" i="21"/>
  <c r="K17" i="21"/>
  <c r="I17" i="21"/>
  <c r="M16" i="21"/>
  <c r="K16" i="21"/>
  <c r="I14" i="21"/>
  <c r="I16" i="21"/>
  <c r="M12" i="21"/>
  <c r="M13" i="21"/>
  <c r="K15" i="21"/>
  <c r="I15" i="21"/>
  <c r="K14" i="21"/>
  <c r="K13" i="21"/>
  <c r="K12" i="21"/>
  <c r="I13" i="21"/>
  <c r="I12" i="21"/>
  <c r="M10" i="21"/>
  <c r="K10" i="21"/>
  <c r="I10" i="21"/>
  <c r="K9" i="21"/>
  <c r="K7" i="21"/>
  <c r="K6" i="21"/>
  <c r="I6" i="21"/>
  <c r="I9" i="21"/>
  <c r="I7" i="21"/>
  <c r="K38" i="20"/>
  <c r="K36" i="20"/>
  <c r="I36" i="20"/>
  <c r="K34" i="20"/>
  <c r="I34" i="20"/>
  <c r="I33" i="20"/>
  <c r="M29" i="20" l="1"/>
  <c r="K29" i="20"/>
  <c r="I29" i="20"/>
  <c r="K28" i="20"/>
  <c r="I28" i="20"/>
  <c r="M27" i="20"/>
  <c r="K27" i="20"/>
  <c r="I27" i="20"/>
  <c r="K26" i="20"/>
  <c r="I26" i="20"/>
  <c r="K24" i="20"/>
  <c r="I24" i="20"/>
  <c r="K22" i="20"/>
  <c r="K21" i="20"/>
  <c r="I22" i="20"/>
  <c r="I21" i="20"/>
  <c r="I19" i="20"/>
  <c r="K18" i="20"/>
  <c r="I18" i="20"/>
  <c r="M17" i="20"/>
  <c r="M16" i="20"/>
  <c r="K17" i="20"/>
  <c r="I17" i="20"/>
  <c r="K16" i="20"/>
  <c r="I16" i="20"/>
  <c r="I15" i="20"/>
  <c r="K15" i="20"/>
  <c r="K14" i="20"/>
  <c r="K13" i="20"/>
  <c r="I14" i="20"/>
  <c r="I13" i="20"/>
  <c r="I12" i="20"/>
  <c r="I11" i="20"/>
  <c r="M9" i="20"/>
  <c r="M8" i="20"/>
  <c r="M7" i="20"/>
  <c r="K9" i="20"/>
  <c r="K8" i="20"/>
  <c r="K7" i="20"/>
  <c r="I9" i="20"/>
  <c r="I8" i="20"/>
  <c r="I4" i="21"/>
  <c r="M5" i="20"/>
  <c r="M4" i="20"/>
  <c r="K5" i="20"/>
  <c r="K4" i="20"/>
  <c r="I7" i="20"/>
  <c r="I5" i="20"/>
  <c r="I4" i="20"/>
  <c r="I3" i="20" l="1"/>
  <c r="Y38" i="20"/>
  <c r="H26" i="20" l="1"/>
  <c r="AA30" i="20" l="1"/>
  <c r="AA31" i="20" s="1"/>
  <c r="Y37" i="20" l="1"/>
  <c r="AA39" i="20"/>
  <c r="AA41" i="20" s="1"/>
  <c r="Z61" i="21"/>
  <c r="AC81" i="21"/>
  <c r="AA81" i="21"/>
  <c r="AA83" i="21" s="1"/>
  <c r="Y45" i="21" l="1"/>
  <c r="Y43" i="21"/>
  <c r="Y41" i="21"/>
  <c r="X61" i="21"/>
  <c r="X60" i="21"/>
  <c r="X59" i="21"/>
  <c r="X58" i="21"/>
  <c r="X57" i="21"/>
  <c r="W61" i="21"/>
  <c r="W60" i="21"/>
  <c r="W59" i="21"/>
  <c r="W58" i="21"/>
  <c r="W57" i="21"/>
  <c r="V61" i="21"/>
  <c r="V60" i="21"/>
  <c r="V59" i="21"/>
  <c r="V58" i="21"/>
  <c r="V57" i="21"/>
  <c r="U61" i="21"/>
  <c r="U60" i="21"/>
  <c r="U59" i="21"/>
  <c r="U58" i="21"/>
  <c r="U57" i="21"/>
  <c r="K3" i="21"/>
  <c r="L3" i="21"/>
  <c r="M3" i="21"/>
  <c r="N3" i="21"/>
  <c r="O3" i="21"/>
  <c r="P3" i="21"/>
  <c r="N12" i="21" l="1"/>
  <c r="N67" i="21"/>
  <c r="S35" i="20"/>
  <c r="R35" i="20"/>
  <c r="Q35" i="20"/>
  <c r="T14" i="20"/>
  <c r="R23" i="21"/>
  <c r="Y23" i="21" s="1"/>
  <c r="R10" i="21"/>
  <c r="Y10" i="21" s="1"/>
  <c r="R21" i="21"/>
  <c r="Y21" i="21" s="1"/>
  <c r="O5" i="21"/>
  <c r="P5" i="21"/>
  <c r="Q5" i="21"/>
  <c r="S5" i="21"/>
  <c r="T5" i="21"/>
  <c r="O8" i="21"/>
  <c r="P8" i="21"/>
  <c r="Q8" i="21"/>
  <c r="S8" i="21"/>
  <c r="O11" i="21"/>
  <c r="P11" i="21"/>
  <c r="Q11" i="21"/>
  <c r="S11" i="21"/>
  <c r="T11" i="21"/>
  <c r="O47" i="21"/>
  <c r="P47" i="21"/>
  <c r="Q47" i="21"/>
  <c r="S47" i="21"/>
  <c r="T47" i="21"/>
  <c r="O50" i="21"/>
  <c r="P50" i="21"/>
  <c r="Q50" i="21"/>
  <c r="S50" i="21"/>
  <c r="T50" i="21"/>
  <c r="O52" i="21"/>
  <c r="P52" i="21"/>
  <c r="Q52" i="21"/>
  <c r="S52" i="21"/>
  <c r="T52" i="21"/>
  <c r="O56" i="21"/>
  <c r="P56" i="21"/>
  <c r="Q56" i="21"/>
  <c r="S56" i="21"/>
  <c r="T56" i="21"/>
  <c r="O69" i="21"/>
  <c r="P69" i="21"/>
  <c r="Q69" i="21"/>
  <c r="S69" i="21"/>
  <c r="T69" i="21"/>
  <c r="O71" i="21"/>
  <c r="P71" i="21"/>
  <c r="Q71" i="21"/>
  <c r="S71" i="21"/>
  <c r="T71" i="21"/>
  <c r="O73" i="21"/>
  <c r="P73" i="21"/>
  <c r="Q73" i="21"/>
  <c r="S73" i="21"/>
  <c r="T73" i="21"/>
  <c r="O75" i="21"/>
  <c r="P75" i="21"/>
  <c r="Q75" i="21"/>
  <c r="S75" i="21"/>
  <c r="T75" i="21"/>
  <c r="P13" i="20"/>
  <c r="P14" i="20"/>
  <c r="Y14" i="20" s="1"/>
  <c r="Z14" i="20" s="1"/>
  <c r="P15" i="20"/>
  <c r="P16" i="20"/>
  <c r="P19" i="20"/>
  <c r="P4" i="20"/>
  <c r="S37" i="20"/>
  <c r="R37" i="20"/>
  <c r="Q37" i="20"/>
  <c r="O37" i="20"/>
  <c r="N37" i="20"/>
  <c r="M37" i="20"/>
  <c r="K37" i="20"/>
  <c r="O35" i="20"/>
  <c r="N35" i="20"/>
  <c r="M35" i="20"/>
  <c r="K35" i="20"/>
  <c r="S32" i="20"/>
  <c r="R32" i="20"/>
  <c r="Q32" i="20"/>
  <c r="O32" i="20"/>
  <c r="N32" i="20"/>
  <c r="M32" i="20"/>
  <c r="S30" i="20"/>
  <c r="R30" i="20"/>
  <c r="Q30" i="20"/>
  <c r="O30" i="20"/>
  <c r="S25" i="20"/>
  <c r="R25" i="20"/>
  <c r="Q25" i="20"/>
  <c r="O25" i="20"/>
  <c r="S23" i="20"/>
  <c r="R23" i="20"/>
  <c r="Q23" i="20"/>
  <c r="O23" i="20"/>
  <c r="S20" i="20"/>
  <c r="R20" i="20"/>
  <c r="Q20" i="20"/>
  <c r="O20" i="20"/>
  <c r="S10" i="20"/>
  <c r="R10" i="20"/>
  <c r="Q10" i="20"/>
  <c r="O10" i="20"/>
  <c r="S6" i="20"/>
  <c r="R6" i="20"/>
  <c r="Q6" i="20"/>
  <c r="O6" i="20"/>
  <c r="S3" i="20"/>
  <c r="R3" i="20"/>
  <c r="Q3" i="20"/>
  <c r="O3" i="20"/>
  <c r="L67" i="21"/>
  <c r="G10" i="20"/>
  <c r="V67" i="21" l="1"/>
  <c r="W67" i="21"/>
  <c r="X67" i="21"/>
  <c r="U67" i="21"/>
  <c r="O39" i="20"/>
  <c r="Q39" i="20"/>
  <c r="S39" i="20"/>
  <c r="R39" i="20"/>
  <c r="Y27" i="16" l="1"/>
  <c r="Y26" i="16"/>
  <c r="O81" i="21"/>
  <c r="P81" i="21"/>
  <c r="S81" i="21"/>
  <c r="I20" i="20"/>
  <c r="K20" i="20"/>
  <c r="M20" i="20"/>
  <c r="H21" i="20"/>
  <c r="J21" i="20"/>
  <c r="L21" i="20"/>
  <c r="P21" i="20"/>
  <c r="T21" i="20"/>
  <c r="H22" i="20"/>
  <c r="J22" i="20"/>
  <c r="L22" i="20"/>
  <c r="N22" i="20"/>
  <c r="N20" i="20" s="1"/>
  <c r="P22" i="20"/>
  <c r="T22" i="20"/>
  <c r="Y22" i="20" l="1"/>
  <c r="P20" i="20"/>
  <c r="T20" i="20"/>
  <c r="W21" i="20"/>
  <c r="U22" i="20"/>
  <c r="V22" i="20"/>
  <c r="L20" i="20"/>
  <c r="H20" i="20"/>
  <c r="W22" i="20"/>
  <c r="U21" i="20"/>
  <c r="Y21" i="20" s="1"/>
  <c r="Y20" i="20" s="1"/>
  <c r="J20" i="20"/>
  <c r="X22" i="20"/>
  <c r="Z22" i="20" s="1"/>
  <c r="X21" i="20"/>
  <c r="Z21" i="20" s="1"/>
  <c r="V21" i="20"/>
  <c r="H1048545" i="21"/>
  <c r="R80" i="21"/>
  <c r="Y80" i="21" s="1"/>
  <c r="N80" i="21"/>
  <c r="L80" i="21"/>
  <c r="J80" i="21"/>
  <c r="H80" i="21"/>
  <c r="R79" i="21"/>
  <c r="Y79" i="21" s="1"/>
  <c r="L79" i="21"/>
  <c r="J79" i="21"/>
  <c r="H79" i="21"/>
  <c r="R78" i="21"/>
  <c r="Y78" i="21" s="1"/>
  <c r="N78" i="21"/>
  <c r="L78" i="21"/>
  <c r="H78" i="21"/>
  <c r="R77" i="21"/>
  <c r="Y77" i="21" s="1"/>
  <c r="N77" i="21"/>
  <c r="L77" i="21"/>
  <c r="J77" i="21"/>
  <c r="H77" i="21"/>
  <c r="R76" i="21"/>
  <c r="N76" i="21"/>
  <c r="L76" i="21"/>
  <c r="J76" i="21"/>
  <c r="H76" i="21"/>
  <c r="M75" i="21"/>
  <c r="K75" i="21"/>
  <c r="I75" i="21"/>
  <c r="R74" i="21"/>
  <c r="N74" i="21"/>
  <c r="L74" i="21"/>
  <c r="J74" i="21"/>
  <c r="H74" i="21"/>
  <c r="H73" i="21" s="1"/>
  <c r="N73" i="21"/>
  <c r="M73" i="21"/>
  <c r="K73" i="21"/>
  <c r="I73" i="21"/>
  <c r="R72" i="21"/>
  <c r="N72" i="21"/>
  <c r="N71" i="21" s="1"/>
  <c r="L72" i="21"/>
  <c r="J72" i="21"/>
  <c r="H72" i="21"/>
  <c r="H71" i="21" s="1"/>
  <c r="M71" i="21"/>
  <c r="K71" i="21"/>
  <c r="I71" i="21"/>
  <c r="R70" i="21"/>
  <c r="L70" i="21"/>
  <c r="J70" i="21"/>
  <c r="H70" i="21"/>
  <c r="N69" i="21"/>
  <c r="M69" i="21"/>
  <c r="K69" i="21"/>
  <c r="I69" i="21"/>
  <c r="R68" i="21"/>
  <c r="Y68" i="21" s="1"/>
  <c r="N68" i="21"/>
  <c r="L68" i="21"/>
  <c r="J68" i="21"/>
  <c r="H68" i="21"/>
  <c r="R67" i="21"/>
  <c r="Y67" i="21" s="1"/>
  <c r="Z67" i="21" s="1"/>
  <c r="H67" i="21"/>
  <c r="R65" i="21"/>
  <c r="N65" i="21"/>
  <c r="L65" i="21"/>
  <c r="J65" i="21"/>
  <c r="H65" i="21"/>
  <c r="R64" i="21"/>
  <c r="Y64" i="21" s="1"/>
  <c r="N64" i="21"/>
  <c r="L64" i="21"/>
  <c r="J64" i="21"/>
  <c r="H64" i="21"/>
  <c r="R63" i="21"/>
  <c r="Y63" i="21" s="1"/>
  <c r="L63" i="21"/>
  <c r="J63" i="21"/>
  <c r="H63" i="21"/>
  <c r="R62" i="21"/>
  <c r="Y62" i="21" s="1"/>
  <c r="N62" i="21"/>
  <c r="L62" i="21"/>
  <c r="J62" i="21"/>
  <c r="H62" i="21"/>
  <c r="R61" i="21"/>
  <c r="Y61" i="21" s="1"/>
  <c r="L61" i="21"/>
  <c r="J61" i="21"/>
  <c r="H61" i="21"/>
  <c r="R60" i="21"/>
  <c r="Y60" i="21" s="1"/>
  <c r="N60" i="21"/>
  <c r="L60" i="21"/>
  <c r="J60" i="21"/>
  <c r="H60" i="21"/>
  <c r="R59" i="21"/>
  <c r="Y59" i="21" s="1"/>
  <c r="L59" i="21"/>
  <c r="J59" i="21"/>
  <c r="H59" i="21"/>
  <c r="R58" i="21"/>
  <c r="Y58" i="21" s="1"/>
  <c r="Z58" i="21" s="1"/>
  <c r="N58" i="21"/>
  <c r="L58" i="21"/>
  <c r="J58" i="21"/>
  <c r="H58" i="21"/>
  <c r="R57" i="21"/>
  <c r="N57" i="21"/>
  <c r="L57" i="21"/>
  <c r="J57" i="21"/>
  <c r="H57" i="21"/>
  <c r="R66" i="21"/>
  <c r="Y66" i="21" s="1"/>
  <c r="N66" i="21"/>
  <c r="L66" i="21"/>
  <c r="J66" i="21"/>
  <c r="H66" i="21"/>
  <c r="M56" i="21"/>
  <c r="K56" i="21"/>
  <c r="I56" i="21"/>
  <c r="R55" i="21"/>
  <c r="Y55" i="21" s="1"/>
  <c r="M55" i="21"/>
  <c r="L55" i="21"/>
  <c r="J55" i="21"/>
  <c r="H55" i="21"/>
  <c r="R54" i="21"/>
  <c r="Y54" i="21" s="1"/>
  <c r="N54" i="21"/>
  <c r="L54" i="21"/>
  <c r="J54" i="21"/>
  <c r="H54" i="21"/>
  <c r="R53" i="21"/>
  <c r="N53" i="21"/>
  <c r="L53" i="21"/>
  <c r="J53" i="21"/>
  <c r="H53" i="21"/>
  <c r="K52" i="21"/>
  <c r="I52" i="21"/>
  <c r="R51" i="21"/>
  <c r="L51" i="21"/>
  <c r="L50" i="21" s="1"/>
  <c r="J51" i="21"/>
  <c r="H51" i="21"/>
  <c r="H50" i="21" s="1"/>
  <c r="N50" i="21"/>
  <c r="M50" i="21"/>
  <c r="K50" i="21"/>
  <c r="I50" i="21"/>
  <c r="R49" i="21"/>
  <c r="Y49" i="21" s="1"/>
  <c r="L49" i="21"/>
  <c r="J49" i="21"/>
  <c r="H49" i="21"/>
  <c r="R48" i="21"/>
  <c r="N48" i="21"/>
  <c r="L48" i="21"/>
  <c r="J48" i="21"/>
  <c r="H48" i="21"/>
  <c r="N47" i="21"/>
  <c r="M47" i="21"/>
  <c r="K47" i="21"/>
  <c r="I47" i="21"/>
  <c r="R19" i="21"/>
  <c r="L19" i="21"/>
  <c r="J19" i="21"/>
  <c r="H19" i="21"/>
  <c r="H11" i="21" s="1"/>
  <c r="R46" i="21"/>
  <c r="N46" i="21"/>
  <c r="L46" i="21"/>
  <c r="J46" i="21"/>
  <c r="H46" i="21"/>
  <c r="R45" i="21"/>
  <c r="Z45" i="21" s="1"/>
  <c r="L45" i="21"/>
  <c r="J45" i="21"/>
  <c r="H45" i="21"/>
  <c r="Z44" i="21"/>
  <c r="R44" i="21"/>
  <c r="Y44" i="21" s="1"/>
  <c r="L44" i="21"/>
  <c r="J44" i="21"/>
  <c r="H44" i="21"/>
  <c r="R42" i="21"/>
  <c r="Y42" i="21" s="1"/>
  <c r="N42" i="21"/>
  <c r="L42" i="21"/>
  <c r="J42" i="21"/>
  <c r="H42" i="21"/>
  <c r="R41" i="21"/>
  <c r="Z41" i="21" s="1"/>
  <c r="N41" i="21"/>
  <c r="L41" i="21"/>
  <c r="J41" i="21"/>
  <c r="H41" i="21"/>
  <c r="R40" i="21"/>
  <c r="N40" i="21"/>
  <c r="L40" i="21"/>
  <c r="J40" i="21"/>
  <c r="H40" i="21"/>
  <c r="R38" i="21"/>
  <c r="Y38" i="21" s="1"/>
  <c r="N38" i="21"/>
  <c r="L38" i="21"/>
  <c r="J38" i="21"/>
  <c r="H38" i="21"/>
  <c r="R37" i="21"/>
  <c r="N37" i="21"/>
  <c r="L37" i="21"/>
  <c r="J37" i="21"/>
  <c r="H37" i="21"/>
  <c r="R36" i="21"/>
  <c r="Y36" i="21" s="1"/>
  <c r="L36" i="21"/>
  <c r="J36" i="21"/>
  <c r="H36" i="21"/>
  <c r="R35" i="21"/>
  <c r="Y35" i="21" s="1"/>
  <c r="N35" i="21"/>
  <c r="L35" i="21"/>
  <c r="J35" i="21"/>
  <c r="H35" i="21"/>
  <c r="R34" i="21"/>
  <c r="Y34" i="21" s="1"/>
  <c r="N34" i="21"/>
  <c r="L34" i="21"/>
  <c r="J34" i="21"/>
  <c r="H34" i="21"/>
  <c r="R33" i="21"/>
  <c r="Y33" i="21" s="1"/>
  <c r="N33" i="21"/>
  <c r="L33" i="21"/>
  <c r="J33" i="21"/>
  <c r="H33" i="21"/>
  <c r="R32" i="21"/>
  <c r="Y32" i="21" s="1"/>
  <c r="L32" i="21"/>
  <c r="J32" i="21"/>
  <c r="H32" i="21"/>
  <c r="R31" i="21"/>
  <c r="Y31" i="21" s="1"/>
  <c r="L31" i="21"/>
  <c r="J31" i="21"/>
  <c r="H31" i="21"/>
  <c r="R29" i="21"/>
  <c r="Y29" i="21" s="1"/>
  <c r="N29" i="21"/>
  <c r="L29" i="21"/>
  <c r="J29" i="21"/>
  <c r="H29" i="21"/>
  <c r="R30" i="21"/>
  <c r="Y30" i="21" s="1"/>
  <c r="N30" i="21"/>
  <c r="L30" i="21"/>
  <c r="J30" i="21"/>
  <c r="H30" i="21"/>
  <c r="R27" i="21"/>
  <c r="Y27" i="21" s="1"/>
  <c r="N27" i="21"/>
  <c r="L27" i="21"/>
  <c r="J27" i="21"/>
  <c r="H27" i="21"/>
  <c r="R26" i="21"/>
  <c r="Y26" i="21" s="1"/>
  <c r="L26" i="21"/>
  <c r="J26" i="21"/>
  <c r="H26" i="21"/>
  <c r="R24" i="21"/>
  <c r="Y24" i="21" s="1"/>
  <c r="N24" i="21"/>
  <c r="L24" i="21"/>
  <c r="J24" i="21"/>
  <c r="H24" i="21"/>
  <c r="R22" i="21"/>
  <c r="Y22" i="21" s="1"/>
  <c r="N22" i="21"/>
  <c r="L22" i="21"/>
  <c r="J22" i="21"/>
  <c r="H22" i="21"/>
  <c r="R43" i="21"/>
  <c r="N43" i="21"/>
  <c r="L43" i="21"/>
  <c r="J43" i="21"/>
  <c r="H43" i="21"/>
  <c r="L28" i="21"/>
  <c r="H28" i="21"/>
  <c r="N23" i="21"/>
  <c r="L23" i="21"/>
  <c r="J23" i="21"/>
  <c r="H23" i="21"/>
  <c r="N21" i="21"/>
  <c r="L21" i="21"/>
  <c r="J21" i="21"/>
  <c r="H21" i="21"/>
  <c r="R20" i="21"/>
  <c r="Y20" i="21" s="1"/>
  <c r="L20" i="21"/>
  <c r="J20" i="21"/>
  <c r="H20" i="21"/>
  <c r="R18" i="21"/>
  <c r="L18" i="21"/>
  <c r="J18" i="21"/>
  <c r="H18" i="21"/>
  <c r="R17" i="21"/>
  <c r="Y17" i="21" s="1"/>
  <c r="Z17" i="21" s="1"/>
  <c r="L17" i="21"/>
  <c r="J17" i="21"/>
  <c r="H17" i="21"/>
  <c r="R16" i="21"/>
  <c r="Y16" i="21" s="1"/>
  <c r="N16" i="21"/>
  <c r="L16" i="21"/>
  <c r="J16" i="21"/>
  <c r="H16" i="21"/>
  <c r="R15" i="21"/>
  <c r="Y15" i="21" s="1"/>
  <c r="L15" i="21"/>
  <c r="J15" i="21"/>
  <c r="H15" i="21"/>
  <c r="R14" i="21"/>
  <c r="Y14" i="21" s="1"/>
  <c r="L14" i="21"/>
  <c r="J14" i="21"/>
  <c r="H14" i="21"/>
  <c r="R13" i="21"/>
  <c r="Y13" i="21" s="1"/>
  <c r="N13" i="21"/>
  <c r="L13" i="21"/>
  <c r="J13" i="21"/>
  <c r="H13" i="21"/>
  <c r="R12" i="21"/>
  <c r="Y12" i="21" s="1"/>
  <c r="L12" i="21"/>
  <c r="J12" i="21"/>
  <c r="H12" i="21"/>
  <c r="R25" i="21"/>
  <c r="Y25" i="21" s="1"/>
  <c r="L25" i="21"/>
  <c r="J25" i="21"/>
  <c r="H25" i="21"/>
  <c r="R39" i="21"/>
  <c r="Y39" i="21" s="1"/>
  <c r="L39" i="21"/>
  <c r="J39" i="21"/>
  <c r="H39" i="21"/>
  <c r="T8" i="21"/>
  <c r="T81" i="21" s="1"/>
  <c r="N10" i="21"/>
  <c r="L10" i="21"/>
  <c r="J10" i="21"/>
  <c r="H10" i="21"/>
  <c r="R9" i="21"/>
  <c r="L9" i="21"/>
  <c r="J9" i="21"/>
  <c r="H9" i="21"/>
  <c r="H8" i="21" s="1"/>
  <c r="M8" i="21"/>
  <c r="K8" i="21"/>
  <c r="I8" i="21"/>
  <c r="G8" i="21"/>
  <c r="R7" i="21"/>
  <c r="Y7" i="21" s="1"/>
  <c r="L7" i="21"/>
  <c r="J7" i="21"/>
  <c r="H7" i="21"/>
  <c r="R6" i="21"/>
  <c r="L6" i="21"/>
  <c r="L5" i="21" s="1"/>
  <c r="J6" i="21"/>
  <c r="H6" i="21"/>
  <c r="H5" i="21" s="1"/>
  <c r="N5" i="21"/>
  <c r="M5" i="21"/>
  <c r="K5" i="21"/>
  <c r="I5" i="21"/>
  <c r="G5" i="21"/>
  <c r="R4" i="21"/>
  <c r="Y4" i="21" s="1"/>
  <c r="Y3" i="21" s="1"/>
  <c r="J4" i="21"/>
  <c r="H4" i="21"/>
  <c r="H3" i="21" s="1"/>
  <c r="T3" i="21"/>
  <c r="S3" i="21"/>
  <c r="Q3" i="21"/>
  <c r="Q81" i="21" s="1"/>
  <c r="G3" i="21"/>
  <c r="H1048503" i="20"/>
  <c r="T38" i="20"/>
  <c r="T37" i="20" s="1"/>
  <c r="P38" i="20"/>
  <c r="P37" i="20" s="1"/>
  <c r="L38" i="20"/>
  <c r="L37" i="20" s="1"/>
  <c r="J38" i="20"/>
  <c r="V38" i="20" s="1"/>
  <c r="H38" i="20"/>
  <c r="I37" i="20"/>
  <c r="T36" i="20"/>
  <c r="T35" i="20" s="1"/>
  <c r="P36" i="20"/>
  <c r="L36" i="20"/>
  <c r="L35" i="20" s="1"/>
  <c r="J36" i="20"/>
  <c r="J35" i="20" s="1"/>
  <c r="H36" i="20"/>
  <c r="H35" i="20" s="1"/>
  <c r="I35" i="20"/>
  <c r="T34" i="20"/>
  <c r="Y34" i="20" s="1"/>
  <c r="L34" i="20"/>
  <c r="L32" i="20" s="1"/>
  <c r="J34" i="20"/>
  <c r="H34" i="20"/>
  <c r="T33" i="20"/>
  <c r="P33" i="20"/>
  <c r="J33" i="20"/>
  <c r="X33" i="20" s="1"/>
  <c r="H33" i="20"/>
  <c r="K32" i="20"/>
  <c r="I32" i="20"/>
  <c r="T31" i="20"/>
  <c r="T30" i="20" s="1"/>
  <c r="P31" i="20"/>
  <c r="J31" i="20"/>
  <c r="H31" i="20"/>
  <c r="H30" i="20" s="1"/>
  <c r="L30" i="20"/>
  <c r="K30" i="20"/>
  <c r="I30" i="20"/>
  <c r="T29" i="20"/>
  <c r="P29" i="20"/>
  <c r="N29" i="20"/>
  <c r="L29" i="20"/>
  <c r="J29" i="20"/>
  <c r="H29" i="20"/>
  <c r="T28" i="20"/>
  <c r="P28" i="20"/>
  <c r="L28" i="20"/>
  <c r="J28" i="20"/>
  <c r="H28" i="20"/>
  <c r="T27" i="20"/>
  <c r="P27" i="20"/>
  <c r="Y27" i="20" s="1"/>
  <c r="N27" i="20"/>
  <c r="L27" i="20"/>
  <c r="J27" i="20"/>
  <c r="H27" i="20"/>
  <c r="T26" i="20"/>
  <c r="P26" i="20"/>
  <c r="L26" i="20"/>
  <c r="J26" i="20"/>
  <c r="M25" i="20"/>
  <c r="K25" i="20"/>
  <c r="I25" i="20"/>
  <c r="T24" i="20"/>
  <c r="T23" i="20" s="1"/>
  <c r="P24" i="20"/>
  <c r="J24" i="20"/>
  <c r="H24" i="20"/>
  <c r="H23" i="20" s="1"/>
  <c r="N23" i="20"/>
  <c r="M23" i="20"/>
  <c r="J23" i="20"/>
  <c r="I23" i="20"/>
  <c r="T19" i="20"/>
  <c r="J19" i="20"/>
  <c r="X19" i="20" s="1"/>
  <c r="H19" i="20"/>
  <c r="T18" i="20"/>
  <c r="P18" i="20"/>
  <c r="Y18" i="20" s="1"/>
  <c r="L18" i="20"/>
  <c r="J18" i="20"/>
  <c r="H18" i="20"/>
  <c r="T17" i="20"/>
  <c r="P17" i="20"/>
  <c r="N17" i="20"/>
  <c r="L17" i="20"/>
  <c r="J17" i="20"/>
  <c r="H17" i="20"/>
  <c r="T16" i="20"/>
  <c r="Y16" i="20" s="1"/>
  <c r="Z16" i="20" s="1"/>
  <c r="N16" i="20"/>
  <c r="L16" i="20"/>
  <c r="J16" i="20"/>
  <c r="H16" i="20"/>
  <c r="T15" i="20"/>
  <c r="Y15" i="20" s="1"/>
  <c r="L15" i="20"/>
  <c r="J15" i="20"/>
  <c r="H15" i="20"/>
  <c r="L14" i="20"/>
  <c r="J14" i="20"/>
  <c r="H14" i="20"/>
  <c r="T13" i="20"/>
  <c r="Y13" i="20" s="1"/>
  <c r="Z13" i="20" s="1"/>
  <c r="L13" i="20"/>
  <c r="J13" i="20"/>
  <c r="H13" i="20"/>
  <c r="T12" i="20"/>
  <c r="P12" i="20"/>
  <c r="J12" i="20"/>
  <c r="W12" i="20" s="1"/>
  <c r="H12" i="20"/>
  <c r="T11" i="20"/>
  <c r="P11" i="20"/>
  <c r="J11" i="20"/>
  <c r="W11" i="20" s="1"/>
  <c r="H11" i="20"/>
  <c r="T9" i="20"/>
  <c r="P9" i="20"/>
  <c r="N9" i="20"/>
  <c r="L9" i="20"/>
  <c r="J9" i="20"/>
  <c r="H9" i="20"/>
  <c r="T8" i="20"/>
  <c r="P8" i="20"/>
  <c r="N8" i="20"/>
  <c r="L8" i="20"/>
  <c r="J8" i="20"/>
  <c r="H8" i="20"/>
  <c r="T7" i="20"/>
  <c r="P7" i="20"/>
  <c r="N7" i="20"/>
  <c r="L7" i="20"/>
  <c r="J7" i="20"/>
  <c r="H7" i="20"/>
  <c r="I6" i="20"/>
  <c r="G6" i="20"/>
  <c r="T5" i="20"/>
  <c r="P5" i="20"/>
  <c r="N5" i="20"/>
  <c r="L5" i="20"/>
  <c r="J5" i="20"/>
  <c r="H5" i="20"/>
  <c r="T4" i="20"/>
  <c r="Y4" i="20" s="1"/>
  <c r="N4" i="20"/>
  <c r="L4" i="20"/>
  <c r="J4" i="20"/>
  <c r="H4" i="20"/>
  <c r="M3" i="20"/>
  <c r="K3" i="20"/>
  <c r="G3" i="20"/>
  <c r="H112" i="16"/>
  <c r="H114" i="16"/>
  <c r="H16" i="16"/>
  <c r="H6" i="16"/>
  <c r="H7" i="16"/>
  <c r="H8" i="16"/>
  <c r="H11" i="16"/>
  <c r="H10" i="16" s="1"/>
  <c r="H12" i="16"/>
  <c r="H13" i="16"/>
  <c r="H14" i="16"/>
  <c r="H17" i="16"/>
  <c r="H18" i="16"/>
  <c r="H19" i="16"/>
  <c r="H20" i="16"/>
  <c r="H21" i="16"/>
  <c r="H22" i="16"/>
  <c r="H23" i="16"/>
  <c r="H24" i="16"/>
  <c r="H25" i="16"/>
  <c r="H26" i="16"/>
  <c r="H27" i="16"/>
  <c r="H28" i="16"/>
  <c r="H29" i="16"/>
  <c r="H30" i="16"/>
  <c r="H31" i="16"/>
  <c r="H32" i="16"/>
  <c r="H33" i="16"/>
  <c r="H34" i="16"/>
  <c r="H35" i="16"/>
  <c r="H36" i="16"/>
  <c r="H37" i="16"/>
  <c r="H38" i="16"/>
  <c r="H39" i="16"/>
  <c r="H40" i="16"/>
  <c r="H41" i="16"/>
  <c r="H42" i="16"/>
  <c r="H43" i="16"/>
  <c r="H44" i="16"/>
  <c r="H45" i="16"/>
  <c r="H46" i="16"/>
  <c r="H47" i="16"/>
  <c r="H48" i="16"/>
  <c r="H49" i="16"/>
  <c r="H50" i="16"/>
  <c r="H51" i="16"/>
  <c r="H52" i="16"/>
  <c r="H53" i="16"/>
  <c r="H54" i="16"/>
  <c r="H55" i="16"/>
  <c r="H56" i="16"/>
  <c r="H57" i="16"/>
  <c r="H58" i="16"/>
  <c r="H59" i="16"/>
  <c r="H67" i="16"/>
  <c r="H68" i="16"/>
  <c r="H69" i="16"/>
  <c r="H74" i="16"/>
  <c r="H75" i="16"/>
  <c r="H76" i="16"/>
  <c r="H83" i="16"/>
  <c r="H84" i="16"/>
  <c r="H87" i="16"/>
  <c r="H88" i="16"/>
  <c r="H89" i="16"/>
  <c r="H90" i="16"/>
  <c r="H91" i="16"/>
  <c r="H92" i="16"/>
  <c r="H93" i="16"/>
  <c r="H94" i="16"/>
  <c r="H95" i="16"/>
  <c r="H96" i="16"/>
  <c r="H97" i="16"/>
  <c r="H103" i="16"/>
  <c r="H102" i="16" s="1"/>
  <c r="H107" i="16"/>
  <c r="H108" i="16"/>
  <c r="H109" i="16"/>
  <c r="H110" i="16"/>
  <c r="H1048576" i="16"/>
  <c r="AA112" i="16"/>
  <c r="R111" i="16"/>
  <c r="N111" i="16"/>
  <c r="L111" i="16"/>
  <c r="J111" i="16"/>
  <c r="H111" i="16"/>
  <c r="R110" i="16"/>
  <c r="L110" i="16"/>
  <c r="J110" i="16"/>
  <c r="R109" i="16"/>
  <c r="N109" i="16"/>
  <c r="L109" i="16"/>
  <c r="J109" i="16"/>
  <c r="R108" i="16"/>
  <c r="N108" i="16"/>
  <c r="L108" i="16"/>
  <c r="J108" i="16"/>
  <c r="R107" i="16"/>
  <c r="N107" i="16"/>
  <c r="N106" i="16" s="1"/>
  <c r="L107" i="16"/>
  <c r="L106" i="16" s="1"/>
  <c r="J107" i="16"/>
  <c r="M106" i="16"/>
  <c r="K106" i="16"/>
  <c r="I106" i="16"/>
  <c r="R105" i="16"/>
  <c r="Y105" i="16" s="1"/>
  <c r="Z105" i="16" s="1"/>
  <c r="Z104" i="16" s="1"/>
  <c r="N105" i="16"/>
  <c r="N104" i="16" s="1"/>
  <c r="L105" i="16"/>
  <c r="J105" i="16"/>
  <c r="H105" i="16"/>
  <c r="H104" i="16" s="1"/>
  <c r="M104" i="16"/>
  <c r="L104" i="16"/>
  <c r="K104" i="16"/>
  <c r="I104" i="16"/>
  <c r="R103" i="16"/>
  <c r="N103" i="16"/>
  <c r="N102" i="16" s="1"/>
  <c r="L103" i="16"/>
  <c r="L102" i="16" s="1"/>
  <c r="J103" i="16"/>
  <c r="M102" i="16"/>
  <c r="K102" i="16"/>
  <c r="I102" i="16"/>
  <c r="R101" i="16"/>
  <c r="L101" i="16"/>
  <c r="J101" i="16"/>
  <c r="H101" i="16"/>
  <c r="T100" i="16"/>
  <c r="P100" i="16"/>
  <c r="Y100" i="16" s="1"/>
  <c r="Z100" i="16" s="1"/>
  <c r="L100" i="16"/>
  <c r="J100" i="16"/>
  <c r="H100" i="16"/>
  <c r="N99" i="16"/>
  <c r="M99" i="16"/>
  <c r="K99" i="16"/>
  <c r="I99" i="16"/>
  <c r="R98" i="16"/>
  <c r="N98" i="16"/>
  <c r="L98" i="16"/>
  <c r="J98" i="16"/>
  <c r="H98" i="16"/>
  <c r="R97" i="16"/>
  <c r="Y97" i="16" s="1"/>
  <c r="Z97" i="16" s="1"/>
  <c r="J97" i="16"/>
  <c r="X97" i="16" s="1"/>
  <c r="R96" i="16"/>
  <c r="Z96" i="16" s="1"/>
  <c r="N96" i="16"/>
  <c r="L96" i="16"/>
  <c r="J96" i="16"/>
  <c r="R95" i="16"/>
  <c r="N95" i="16"/>
  <c r="L95" i="16"/>
  <c r="J95" i="16"/>
  <c r="R94" i="16"/>
  <c r="L94" i="16"/>
  <c r="J94" i="16"/>
  <c r="R93" i="16"/>
  <c r="N93" i="16"/>
  <c r="L93" i="16"/>
  <c r="J93" i="16"/>
  <c r="R92" i="16"/>
  <c r="L92" i="16"/>
  <c r="J92" i="16"/>
  <c r="R91" i="16"/>
  <c r="N91" i="16"/>
  <c r="L91" i="16"/>
  <c r="J91" i="16"/>
  <c r="R90" i="16"/>
  <c r="L90" i="16"/>
  <c r="J90" i="16"/>
  <c r="R89" i="16"/>
  <c r="Y89" i="16" s="1"/>
  <c r="Z89" i="16" s="1"/>
  <c r="M89" i="16"/>
  <c r="N89" i="16" s="1"/>
  <c r="L89" i="16"/>
  <c r="J89" i="16"/>
  <c r="R88" i="16"/>
  <c r="N88" i="16"/>
  <c r="L88" i="16"/>
  <c r="J88" i="16"/>
  <c r="R87" i="16"/>
  <c r="N87" i="16"/>
  <c r="L87" i="16"/>
  <c r="J87" i="16"/>
  <c r="M86" i="16"/>
  <c r="K86" i="16"/>
  <c r="I86" i="16"/>
  <c r="R85" i="16"/>
  <c r="N85" i="16"/>
  <c r="M85" i="16"/>
  <c r="L85" i="16"/>
  <c r="J85" i="16"/>
  <c r="H85" i="16"/>
  <c r="R84" i="16"/>
  <c r="N84" i="16"/>
  <c r="L84" i="16"/>
  <c r="J84" i="16"/>
  <c r="R83" i="16"/>
  <c r="N83" i="16"/>
  <c r="N82" i="16" s="1"/>
  <c r="L83" i="16"/>
  <c r="J83" i="16"/>
  <c r="M82" i="16"/>
  <c r="K82" i="16"/>
  <c r="I82" i="16"/>
  <c r="T81" i="16"/>
  <c r="P81" i="16"/>
  <c r="L81" i="16"/>
  <c r="L80" i="16" s="1"/>
  <c r="J81" i="16"/>
  <c r="J80" i="16" s="1"/>
  <c r="H81" i="16"/>
  <c r="H80" i="16" s="1"/>
  <c r="N80" i="16"/>
  <c r="M80" i="16"/>
  <c r="K80" i="16"/>
  <c r="I80" i="16"/>
  <c r="R79" i="16"/>
  <c r="L79" i="16"/>
  <c r="J79" i="16"/>
  <c r="J78" i="16" s="1"/>
  <c r="H79" i="16"/>
  <c r="H78" i="16" s="1"/>
  <c r="N78" i="16"/>
  <c r="M78" i="16"/>
  <c r="K78" i="16"/>
  <c r="I78" i="16"/>
  <c r="R77" i="16"/>
  <c r="L77" i="16"/>
  <c r="J77" i="16"/>
  <c r="H77" i="16"/>
  <c r="R76" i="16"/>
  <c r="N76" i="16"/>
  <c r="N73" i="16" s="1"/>
  <c r="L76" i="16"/>
  <c r="J76" i="16"/>
  <c r="T75" i="16"/>
  <c r="Y75" i="16" s="1"/>
  <c r="Z75" i="16" s="1"/>
  <c r="L75" i="16"/>
  <c r="J75" i="16"/>
  <c r="T74" i="16"/>
  <c r="P74" i="16"/>
  <c r="J74" i="16"/>
  <c r="W74" i="16" s="1"/>
  <c r="M73" i="16"/>
  <c r="K73" i="16"/>
  <c r="I73" i="16"/>
  <c r="T72" i="16"/>
  <c r="P72" i="16"/>
  <c r="N72" i="16"/>
  <c r="N71" i="16" s="1"/>
  <c r="M72" i="16"/>
  <c r="J72" i="16"/>
  <c r="W72" i="16" s="1"/>
  <c r="W71" i="16" s="1"/>
  <c r="I72" i="16"/>
  <c r="H72" i="16"/>
  <c r="H71" i="16" s="1"/>
  <c r="M71" i="16"/>
  <c r="L71" i="16"/>
  <c r="K71" i="16"/>
  <c r="I71" i="16"/>
  <c r="T70" i="16"/>
  <c r="P70" i="16"/>
  <c r="N70" i="16"/>
  <c r="L70" i="16"/>
  <c r="J70" i="16"/>
  <c r="H70" i="16"/>
  <c r="T69" i="16"/>
  <c r="P69" i="16"/>
  <c r="L69" i="16"/>
  <c r="J69" i="16"/>
  <c r="T68" i="16"/>
  <c r="P68" i="16"/>
  <c r="N68" i="16"/>
  <c r="N66" i="16" s="1"/>
  <c r="L68" i="16"/>
  <c r="J68" i="16"/>
  <c r="T67" i="16"/>
  <c r="P67" i="16"/>
  <c r="L67" i="16"/>
  <c r="J67" i="16"/>
  <c r="M66" i="16"/>
  <c r="K66" i="16"/>
  <c r="I66" i="16"/>
  <c r="T65" i="16"/>
  <c r="P65" i="16"/>
  <c r="L65" i="16"/>
  <c r="L64" i="16" s="1"/>
  <c r="K65" i="16"/>
  <c r="J65" i="16"/>
  <c r="W65" i="16" s="1"/>
  <c r="W64" i="16" s="1"/>
  <c r="H65" i="16"/>
  <c r="H64" i="16" s="1"/>
  <c r="N64" i="16"/>
  <c r="M64" i="16"/>
  <c r="K64" i="16"/>
  <c r="I64" i="16"/>
  <c r="T63" i="16"/>
  <c r="P63" i="16"/>
  <c r="N63" i="16"/>
  <c r="N61" i="16" s="1"/>
  <c r="L63" i="16"/>
  <c r="J63" i="16"/>
  <c r="H63" i="16"/>
  <c r="T62" i="16"/>
  <c r="P62" i="16"/>
  <c r="L62" i="16"/>
  <c r="J62" i="16"/>
  <c r="H62" i="16"/>
  <c r="M61" i="16"/>
  <c r="K61" i="16"/>
  <c r="I61" i="16"/>
  <c r="R60" i="16"/>
  <c r="Y60" i="16" s="1"/>
  <c r="Z60" i="16" s="1"/>
  <c r="L60" i="16"/>
  <c r="J60" i="16"/>
  <c r="H60" i="16"/>
  <c r="R59" i="16"/>
  <c r="Y59" i="16" s="1"/>
  <c r="Z59" i="16" s="1"/>
  <c r="N59" i="16"/>
  <c r="L59" i="16"/>
  <c r="J59" i="16"/>
  <c r="R58" i="16"/>
  <c r="Y58" i="16" s="1"/>
  <c r="Z58" i="16" s="1"/>
  <c r="L58" i="16"/>
  <c r="J58" i="16"/>
  <c r="R57" i="16"/>
  <c r="L57" i="16"/>
  <c r="J57" i="16"/>
  <c r="R56" i="16"/>
  <c r="N56" i="16"/>
  <c r="L56" i="16"/>
  <c r="J56" i="16"/>
  <c r="R55" i="16"/>
  <c r="Y55" i="16" s="1"/>
  <c r="Z55" i="16" s="1"/>
  <c r="N55" i="16"/>
  <c r="L55" i="16"/>
  <c r="J55" i="16"/>
  <c r="R54" i="16"/>
  <c r="Y54" i="16" s="1"/>
  <c r="Z54" i="16" s="1"/>
  <c r="N54" i="16"/>
  <c r="L54" i="16"/>
  <c r="J54" i="16"/>
  <c r="R53" i="16"/>
  <c r="N53" i="16"/>
  <c r="L53" i="16"/>
  <c r="J53" i="16"/>
  <c r="R52" i="16"/>
  <c r="Y52" i="16" s="1"/>
  <c r="Z52" i="16" s="1"/>
  <c r="N52" i="16"/>
  <c r="L52" i="16"/>
  <c r="J52" i="16"/>
  <c r="R51" i="16"/>
  <c r="L51" i="16"/>
  <c r="J51" i="16"/>
  <c r="R50" i="16"/>
  <c r="N50" i="16"/>
  <c r="L50" i="16"/>
  <c r="J50" i="16"/>
  <c r="R49" i="16"/>
  <c r="N49" i="16"/>
  <c r="L49" i="16"/>
  <c r="J49" i="16"/>
  <c r="R48" i="16"/>
  <c r="N48" i="16"/>
  <c r="L48" i="16"/>
  <c r="J48" i="16"/>
  <c r="R47" i="16"/>
  <c r="L47" i="16"/>
  <c r="J47" i="16"/>
  <c r="R46" i="16"/>
  <c r="L46" i="16"/>
  <c r="J46" i="16"/>
  <c r="R45" i="16"/>
  <c r="N45" i="16"/>
  <c r="L45" i="16"/>
  <c r="J45" i="16"/>
  <c r="R44" i="16"/>
  <c r="N44" i="16"/>
  <c r="L44" i="16"/>
  <c r="J44" i="16"/>
  <c r="R43" i="16"/>
  <c r="N43" i="16"/>
  <c r="L43" i="16"/>
  <c r="J43" i="16"/>
  <c r="R42" i="16"/>
  <c r="K42" i="16"/>
  <c r="L42" i="16" s="1"/>
  <c r="I42" i="16"/>
  <c r="J42" i="16" s="1"/>
  <c r="R41" i="16"/>
  <c r="N41" i="16"/>
  <c r="M41" i="16"/>
  <c r="L41" i="16"/>
  <c r="K41" i="16"/>
  <c r="J41" i="16"/>
  <c r="X41" i="16" s="1"/>
  <c r="I41" i="16"/>
  <c r="R40" i="16"/>
  <c r="N40" i="16"/>
  <c r="L40" i="16"/>
  <c r="J40" i="16"/>
  <c r="T39" i="16"/>
  <c r="Y39" i="16" s="1"/>
  <c r="Z39" i="16" s="1"/>
  <c r="L39" i="16"/>
  <c r="J39" i="16"/>
  <c r="T38" i="16"/>
  <c r="P38" i="16"/>
  <c r="L38" i="16"/>
  <c r="J38" i="16"/>
  <c r="T37" i="16"/>
  <c r="P37" i="16"/>
  <c r="M37" i="16"/>
  <c r="N37" i="16" s="1"/>
  <c r="K37" i="16"/>
  <c r="L37" i="16" s="1"/>
  <c r="I37" i="16"/>
  <c r="J37" i="16" s="1"/>
  <c r="T36" i="16"/>
  <c r="P36" i="16"/>
  <c r="N36" i="16"/>
  <c r="L36" i="16"/>
  <c r="J36" i="16"/>
  <c r="T35" i="16"/>
  <c r="P35" i="16"/>
  <c r="L35" i="16"/>
  <c r="J35" i="16"/>
  <c r="P34" i="16"/>
  <c r="Y34" i="16" s="1"/>
  <c r="Z34" i="16" s="1"/>
  <c r="L34" i="16"/>
  <c r="J34" i="16"/>
  <c r="T33" i="16"/>
  <c r="L33" i="16"/>
  <c r="J33" i="16"/>
  <c r="T32" i="16"/>
  <c r="P32" i="16"/>
  <c r="J32" i="16"/>
  <c r="W32" i="16" s="1"/>
  <c r="T31" i="16"/>
  <c r="Y31" i="16" s="1"/>
  <c r="Z31" i="16" s="1"/>
  <c r="P31" i="16"/>
  <c r="J31" i="16"/>
  <c r="W31" i="16" s="1"/>
  <c r="R30" i="16"/>
  <c r="Y30" i="16" s="1"/>
  <c r="Z30" i="16" s="1"/>
  <c r="N30" i="16"/>
  <c r="L30" i="16"/>
  <c r="J30" i="16"/>
  <c r="N29" i="16"/>
  <c r="L29" i="16"/>
  <c r="J29" i="16"/>
  <c r="N28" i="16"/>
  <c r="L28" i="16"/>
  <c r="J28" i="16"/>
  <c r="Z27" i="16"/>
  <c r="N27" i="16"/>
  <c r="L27" i="16"/>
  <c r="J27" i="16"/>
  <c r="Z26" i="16"/>
  <c r="R26" i="16"/>
  <c r="L26" i="16"/>
  <c r="J26" i="16"/>
  <c r="R25" i="16"/>
  <c r="Y25" i="16" s="1"/>
  <c r="Z25" i="16" s="1"/>
  <c r="L25" i="16"/>
  <c r="J25" i="16"/>
  <c r="R24" i="16"/>
  <c r="Y24" i="16" s="1"/>
  <c r="Z24" i="16" s="1"/>
  <c r="L24" i="16"/>
  <c r="J24" i="16"/>
  <c r="R23" i="16"/>
  <c r="M23" i="16"/>
  <c r="N23" i="16" s="1"/>
  <c r="K23" i="16"/>
  <c r="L23" i="16" s="1"/>
  <c r="I23" i="16"/>
  <c r="J23" i="16" s="1"/>
  <c r="R22" i="16"/>
  <c r="L22" i="16"/>
  <c r="J22" i="16"/>
  <c r="R21" i="16"/>
  <c r="L21" i="16"/>
  <c r="J21" i="16"/>
  <c r="R20" i="16"/>
  <c r="N20" i="16"/>
  <c r="M20" i="16"/>
  <c r="L20" i="16"/>
  <c r="K20" i="16"/>
  <c r="J20" i="16"/>
  <c r="X20" i="16" s="1"/>
  <c r="I20" i="16"/>
  <c r="R19" i="16"/>
  <c r="L19" i="16"/>
  <c r="J19" i="16"/>
  <c r="R18" i="16"/>
  <c r="L18" i="16"/>
  <c r="J18" i="16"/>
  <c r="R17" i="16"/>
  <c r="L17" i="16"/>
  <c r="J17" i="16"/>
  <c r="I17" i="16"/>
  <c r="M16" i="16"/>
  <c r="K16" i="16"/>
  <c r="I16" i="16"/>
  <c r="T15" i="16"/>
  <c r="P15" i="16"/>
  <c r="N15" i="16"/>
  <c r="M15" i="16"/>
  <c r="L15" i="16"/>
  <c r="K15" i="16"/>
  <c r="J15" i="16"/>
  <c r="W15" i="16" s="1"/>
  <c r="H15" i="16"/>
  <c r="T14" i="16"/>
  <c r="P14" i="16"/>
  <c r="N14" i="16"/>
  <c r="L14" i="16"/>
  <c r="J14" i="16"/>
  <c r="T13" i="16"/>
  <c r="P13" i="16"/>
  <c r="N13" i="16"/>
  <c r="L13" i="16"/>
  <c r="J13" i="16"/>
  <c r="Z12" i="16"/>
  <c r="T12" i="16"/>
  <c r="P12" i="16"/>
  <c r="Y12" i="16" s="1"/>
  <c r="Y10" i="16" s="1"/>
  <c r="N12" i="16"/>
  <c r="L12" i="16"/>
  <c r="J12" i="16"/>
  <c r="R11" i="16"/>
  <c r="L11" i="16"/>
  <c r="J11" i="16"/>
  <c r="M10" i="16"/>
  <c r="K10" i="16"/>
  <c r="I10" i="16"/>
  <c r="G10" i="16"/>
  <c r="T9" i="16"/>
  <c r="Y9" i="16" s="1"/>
  <c r="Z9" i="16" s="1"/>
  <c r="R9" i="16"/>
  <c r="P9" i="16"/>
  <c r="N9" i="16"/>
  <c r="L9" i="16"/>
  <c r="J9" i="16"/>
  <c r="H9" i="16"/>
  <c r="T8" i="16"/>
  <c r="Y8" i="16" s="1"/>
  <c r="R8" i="16"/>
  <c r="N8" i="16"/>
  <c r="N5" i="16" s="1"/>
  <c r="L8" i="16"/>
  <c r="J8" i="16"/>
  <c r="R7" i="16"/>
  <c r="L7" i="16"/>
  <c r="J7" i="16"/>
  <c r="R6" i="16"/>
  <c r="L6" i="16"/>
  <c r="J6" i="16"/>
  <c r="M5" i="16"/>
  <c r="K5" i="16"/>
  <c r="I5" i="16"/>
  <c r="G5" i="16"/>
  <c r="R4" i="16"/>
  <c r="I4" i="16"/>
  <c r="J4" i="16" s="1"/>
  <c r="H4" i="16"/>
  <c r="H3" i="16" s="1"/>
  <c r="T3" i="16"/>
  <c r="T112" i="16" s="1"/>
  <c r="S3" i="16"/>
  <c r="S112" i="16" s="1"/>
  <c r="Q3" i="16"/>
  <c r="Q112" i="16" s="1"/>
  <c r="P3" i="16"/>
  <c r="P112" i="16" s="1"/>
  <c r="O3" i="16"/>
  <c r="O112" i="16" s="1"/>
  <c r="N3" i="16"/>
  <c r="M3" i="16"/>
  <c r="L3" i="16"/>
  <c r="K3" i="16"/>
  <c r="I3" i="16"/>
  <c r="G3" i="16"/>
  <c r="Y29" i="20" l="1"/>
  <c r="Y76" i="21"/>
  <c r="Y75" i="21" s="1"/>
  <c r="R75" i="21"/>
  <c r="Y74" i="21"/>
  <c r="Y73" i="21" s="1"/>
  <c r="R73" i="21"/>
  <c r="Y72" i="21"/>
  <c r="Y71" i="21" s="1"/>
  <c r="R71" i="21"/>
  <c r="Y70" i="21"/>
  <c r="Y69" i="21" s="1"/>
  <c r="R69" i="21"/>
  <c r="Y65" i="21"/>
  <c r="Y57" i="21"/>
  <c r="Y56" i="21" s="1"/>
  <c r="R56" i="21"/>
  <c r="Y53" i="21"/>
  <c r="Y52" i="21" s="1"/>
  <c r="R52" i="21"/>
  <c r="Y51" i="21"/>
  <c r="Y50" i="21" s="1"/>
  <c r="R50" i="21"/>
  <c r="Y48" i="21"/>
  <c r="Y47" i="21" s="1"/>
  <c r="R47" i="21"/>
  <c r="Y46" i="21"/>
  <c r="Z46" i="21" s="1"/>
  <c r="Y40" i="21"/>
  <c r="Y37" i="21"/>
  <c r="Z37" i="21" s="1"/>
  <c r="Y19" i="21"/>
  <c r="Z19" i="21" s="1"/>
  <c r="Y18" i="21"/>
  <c r="Y9" i="21"/>
  <c r="Y8" i="21" s="1"/>
  <c r="R8" i="21"/>
  <c r="Y6" i="21"/>
  <c r="Y5" i="21" s="1"/>
  <c r="R5" i="21"/>
  <c r="Y36" i="20"/>
  <c r="Y35" i="20" s="1"/>
  <c r="P35" i="20"/>
  <c r="Y33" i="20"/>
  <c r="P32" i="20"/>
  <c r="Y31" i="20"/>
  <c r="Y30" i="20" s="1"/>
  <c r="P30" i="20"/>
  <c r="Y28" i="20"/>
  <c r="Y26" i="20"/>
  <c r="Z26" i="20" s="1"/>
  <c r="AA26" i="20" s="1"/>
  <c r="AB26" i="20" s="1"/>
  <c r="Y24" i="20"/>
  <c r="Y23" i="20" s="1"/>
  <c r="P23" i="20"/>
  <c r="Y19" i="20"/>
  <c r="Z19" i="20" s="1"/>
  <c r="Y17" i="20"/>
  <c r="Y12" i="20"/>
  <c r="Z12" i="20" s="1"/>
  <c r="Y11" i="20"/>
  <c r="Z11" i="20" s="1"/>
  <c r="P10" i="20"/>
  <c r="W80" i="21"/>
  <c r="U80" i="21"/>
  <c r="X80" i="21"/>
  <c r="V80" i="21"/>
  <c r="X79" i="21"/>
  <c r="W79" i="21"/>
  <c r="U79" i="21"/>
  <c r="V79" i="21"/>
  <c r="Z79" i="21" s="1"/>
  <c r="W78" i="21"/>
  <c r="X78" i="21"/>
  <c r="Z78" i="21" s="1"/>
  <c r="V78" i="21"/>
  <c r="U78" i="21"/>
  <c r="V77" i="21"/>
  <c r="U77" i="21"/>
  <c r="X77" i="21"/>
  <c r="W77" i="21"/>
  <c r="Z77" i="21" s="1"/>
  <c r="X76" i="21"/>
  <c r="V76" i="21"/>
  <c r="W76" i="21"/>
  <c r="U76" i="21"/>
  <c r="J73" i="21"/>
  <c r="W74" i="21"/>
  <c r="X74" i="21"/>
  <c r="X73" i="21" s="1"/>
  <c r="U74" i="21"/>
  <c r="U73" i="21" s="1"/>
  <c r="V74" i="21"/>
  <c r="J71" i="21"/>
  <c r="X72" i="21"/>
  <c r="W72" i="21"/>
  <c r="W71" i="21" s="1"/>
  <c r="V72" i="21"/>
  <c r="V71" i="21" s="1"/>
  <c r="U72" i="21"/>
  <c r="U71" i="21" s="1"/>
  <c r="X70" i="21"/>
  <c r="Z70" i="21" s="1"/>
  <c r="Z69" i="21" s="1"/>
  <c r="AB69" i="21" s="1"/>
  <c r="W70" i="21"/>
  <c r="V70" i="21"/>
  <c r="V69" i="21" s="1"/>
  <c r="U70" i="21"/>
  <c r="U69" i="21" s="1"/>
  <c r="V68" i="21"/>
  <c r="U68" i="21"/>
  <c r="X68" i="21"/>
  <c r="W68" i="21"/>
  <c r="V66" i="21"/>
  <c r="U66" i="21"/>
  <c r="X66" i="21"/>
  <c r="W66" i="21"/>
  <c r="X65" i="21"/>
  <c r="W65" i="21"/>
  <c r="V65" i="21"/>
  <c r="U65" i="21"/>
  <c r="V64" i="21"/>
  <c r="U64" i="21"/>
  <c r="X64" i="21"/>
  <c r="Z64" i="21" s="1"/>
  <c r="W64" i="21"/>
  <c r="V63" i="21"/>
  <c r="U63" i="21"/>
  <c r="W63" i="21"/>
  <c r="X63" i="21"/>
  <c r="Z56" i="21" s="1"/>
  <c r="AB56" i="21" s="1"/>
  <c r="W62" i="21"/>
  <c r="X62" i="21"/>
  <c r="V62" i="21"/>
  <c r="U62" i="21"/>
  <c r="U54" i="21"/>
  <c r="W54" i="21"/>
  <c r="X54" i="21"/>
  <c r="V54" i="21"/>
  <c r="V55" i="21"/>
  <c r="X55" i="21"/>
  <c r="U55" i="21"/>
  <c r="W55" i="21"/>
  <c r="U53" i="21"/>
  <c r="V53" i="21"/>
  <c r="X53" i="21"/>
  <c r="W53" i="21"/>
  <c r="W51" i="21"/>
  <c r="X51" i="21"/>
  <c r="V51" i="21"/>
  <c r="U51" i="21"/>
  <c r="U50" i="21" s="1"/>
  <c r="V49" i="21"/>
  <c r="W49" i="21"/>
  <c r="U49" i="21"/>
  <c r="Z49" i="21" s="1"/>
  <c r="X49" i="21"/>
  <c r="X48" i="21"/>
  <c r="V48" i="21"/>
  <c r="Z48" i="21" s="1"/>
  <c r="Z47" i="21" s="1"/>
  <c r="AB47" i="21" s="1"/>
  <c r="U48" i="21"/>
  <c r="U47" i="21" s="1"/>
  <c r="W48" i="21"/>
  <c r="W46" i="21"/>
  <c r="U46" i="21"/>
  <c r="X46" i="21"/>
  <c r="V46" i="21"/>
  <c r="W45" i="21"/>
  <c r="U45" i="21"/>
  <c r="X45" i="21"/>
  <c r="V45" i="21"/>
  <c r="W44" i="21"/>
  <c r="V44" i="21"/>
  <c r="U44" i="21"/>
  <c r="X44" i="21"/>
  <c r="X43" i="21"/>
  <c r="U43" i="21"/>
  <c r="W43" i="21"/>
  <c r="V43" i="21"/>
  <c r="W42" i="21"/>
  <c r="X42" i="21"/>
  <c r="U42" i="21"/>
  <c r="V42" i="21"/>
  <c r="U41" i="21"/>
  <c r="V41" i="21"/>
  <c r="X41" i="21"/>
  <c r="W41" i="21"/>
  <c r="W40" i="21"/>
  <c r="V40" i="21"/>
  <c r="X40" i="21"/>
  <c r="U40" i="21"/>
  <c r="X39" i="21"/>
  <c r="V39" i="21"/>
  <c r="U39" i="21"/>
  <c r="W39" i="21"/>
  <c r="W38" i="21"/>
  <c r="X38" i="21"/>
  <c r="V38" i="21"/>
  <c r="U38" i="21"/>
  <c r="V37" i="21"/>
  <c r="U37" i="21"/>
  <c r="X37" i="21"/>
  <c r="W37" i="21"/>
  <c r="W36" i="21"/>
  <c r="V36" i="21"/>
  <c r="U36" i="21"/>
  <c r="X36" i="21"/>
  <c r="X35" i="21"/>
  <c r="V35" i="21"/>
  <c r="U35" i="21"/>
  <c r="W35" i="21"/>
  <c r="W34" i="21"/>
  <c r="X34" i="21"/>
  <c r="V34" i="21"/>
  <c r="U34" i="21"/>
  <c r="X33" i="21"/>
  <c r="V33" i="21"/>
  <c r="W33" i="21"/>
  <c r="U33" i="21"/>
  <c r="W32" i="21"/>
  <c r="X32" i="21"/>
  <c r="V32" i="21"/>
  <c r="U32" i="21"/>
  <c r="X31" i="21"/>
  <c r="V31" i="21"/>
  <c r="U31" i="21"/>
  <c r="W31" i="21"/>
  <c r="W30" i="21"/>
  <c r="V30" i="21"/>
  <c r="X30" i="21"/>
  <c r="U30" i="21"/>
  <c r="V29" i="21"/>
  <c r="W29" i="21"/>
  <c r="X29" i="21"/>
  <c r="U29" i="21"/>
  <c r="W28" i="21"/>
  <c r="U28" i="21"/>
  <c r="Z28" i="21" s="1"/>
  <c r="V28" i="21"/>
  <c r="X28" i="21"/>
  <c r="X27" i="21"/>
  <c r="V27" i="21"/>
  <c r="U27" i="21"/>
  <c r="W27" i="21"/>
  <c r="W26" i="21"/>
  <c r="U26" i="21"/>
  <c r="X26" i="21"/>
  <c r="V26" i="21"/>
  <c r="V25" i="21"/>
  <c r="W25" i="21"/>
  <c r="X25" i="21"/>
  <c r="U25" i="21"/>
  <c r="W24" i="21"/>
  <c r="V24" i="21"/>
  <c r="X24" i="21"/>
  <c r="U24" i="21"/>
  <c r="X23" i="21"/>
  <c r="V23" i="21"/>
  <c r="W23" i="21"/>
  <c r="U23" i="21"/>
  <c r="W22" i="21"/>
  <c r="V22" i="21"/>
  <c r="X22" i="21"/>
  <c r="U22" i="21"/>
  <c r="V21" i="21"/>
  <c r="W21" i="21"/>
  <c r="X21" i="21"/>
  <c r="U21" i="21"/>
  <c r="W20" i="21"/>
  <c r="V20" i="21"/>
  <c r="U20" i="21"/>
  <c r="X20" i="21"/>
  <c r="X19" i="21"/>
  <c r="V19" i="21"/>
  <c r="U19" i="21"/>
  <c r="W19" i="21"/>
  <c r="W18" i="21"/>
  <c r="V18" i="21"/>
  <c r="X18" i="21"/>
  <c r="U18" i="21"/>
  <c r="W17" i="21"/>
  <c r="V17" i="21"/>
  <c r="X17" i="21"/>
  <c r="U17" i="21"/>
  <c r="W16" i="21"/>
  <c r="V16" i="21"/>
  <c r="U16" i="21"/>
  <c r="X16" i="21"/>
  <c r="X15" i="21"/>
  <c r="V15" i="21"/>
  <c r="U15" i="21"/>
  <c r="W15" i="21"/>
  <c r="W14" i="21"/>
  <c r="U14" i="21"/>
  <c r="X14" i="21"/>
  <c r="V14" i="21"/>
  <c r="X13" i="21"/>
  <c r="W13" i="21"/>
  <c r="V13" i="21"/>
  <c r="U13" i="21"/>
  <c r="W12" i="21"/>
  <c r="X12" i="21"/>
  <c r="V12" i="21"/>
  <c r="U12" i="21"/>
  <c r="L8" i="21"/>
  <c r="X9" i="21"/>
  <c r="Z9" i="21" s="1"/>
  <c r="V9" i="21"/>
  <c r="U9" i="21"/>
  <c r="W9" i="21"/>
  <c r="J5" i="21"/>
  <c r="W6" i="21"/>
  <c r="X6" i="21"/>
  <c r="U6" i="21"/>
  <c r="V6" i="21"/>
  <c r="N25" i="20"/>
  <c r="W26" i="20"/>
  <c r="Y8" i="20"/>
  <c r="T6" i="20"/>
  <c r="Y9" i="20"/>
  <c r="Y7" i="20"/>
  <c r="P6" i="20"/>
  <c r="W4" i="21"/>
  <c r="W3" i="21" s="1"/>
  <c r="V4" i="21"/>
  <c r="U4" i="21"/>
  <c r="X7" i="21"/>
  <c r="W7" i="21"/>
  <c r="U7" i="21"/>
  <c r="V7" i="21"/>
  <c r="Z7" i="21" s="1"/>
  <c r="X10" i="21"/>
  <c r="U10" i="21"/>
  <c r="V10" i="21"/>
  <c r="V8" i="21" s="1"/>
  <c r="W10" i="21"/>
  <c r="Z10" i="21" s="1"/>
  <c r="Y5" i="20"/>
  <c r="Z5" i="20" s="1"/>
  <c r="P3" i="20"/>
  <c r="L3" i="20"/>
  <c r="P25" i="20"/>
  <c r="Z20" i="20"/>
  <c r="AB20" i="20" s="1"/>
  <c r="T3" i="20"/>
  <c r="T25" i="20"/>
  <c r="T10" i="20"/>
  <c r="T32" i="20"/>
  <c r="R11" i="21"/>
  <c r="R81" i="21" s="1"/>
  <c r="H69" i="21"/>
  <c r="H81" i="21"/>
  <c r="J47" i="21"/>
  <c r="H47" i="21"/>
  <c r="H52" i="21"/>
  <c r="L52" i="21"/>
  <c r="H56" i="21"/>
  <c r="J56" i="21"/>
  <c r="X71" i="21"/>
  <c r="L11" i="21"/>
  <c r="L69" i="21"/>
  <c r="I3" i="21"/>
  <c r="N8" i="21"/>
  <c r="N11" i="21"/>
  <c r="L47" i="21"/>
  <c r="V50" i="21"/>
  <c r="J69" i="21"/>
  <c r="Z30" i="21"/>
  <c r="N56" i="21"/>
  <c r="N75" i="21"/>
  <c r="H75" i="21"/>
  <c r="V20" i="20"/>
  <c r="W20" i="20"/>
  <c r="H37" i="20"/>
  <c r="J37" i="20"/>
  <c r="U20" i="20"/>
  <c r="W38" i="20"/>
  <c r="X20" i="20"/>
  <c r="W14" i="20"/>
  <c r="W15" i="20"/>
  <c r="X18" i="20"/>
  <c r="W19" i="20"/>
  <c r="V28" i="20"/>
  <c r="Z28" i="20"/>
  <c r="AA28" i="20" s="1"/>
  <c r="V29" i="20"/>
  <c r="Z29" i="20"/>
  <c r="AA29" i="20" s="1"/>
  <c r="H3" i="20"/>
  <c r="M10" i="20"/>
  <c r="N10" i="20"/>
  <c r="U34" i="20"/>
  <c r="W4" i="20"/>
  <c r="W5" i="20"/>
  <c r="N3" i="20"/>
  <c r="H6" i="20"/>
  <c r="W8" i="20"/>
  <c r="Z8" i="20" s="1"/>
  <c r="X9" i="20"/>
  <c r="J32" i="20"/>
  <c r="H32" i="20"/>
  <c r="U33" i="20"/>
  <c r="X7" i="20"/>
  <c r="J6" i="20"/>
  <c r="N6" i="20"/>
  <c r="L10" i="20"/>
  <c r="X27" i="20"/>
  <c r="W27" i="20"/>
  <c r="N30" i="20"/>
  <c r="M30" i="20"/>
  <c r="K10" i="20"/>
  <c r="I10" i="20"/>
  <c r="I39" i="20" s="1"/>
  <c r="H25" i="20"/>
  <c r="W34" i="20"/>
  <c r="X4" i="20"/>
  <c r="V5" i="20"/>
  <c r="W7" i="20"/>
  <c r="Z7" i="20" s="1"/>
  <c r="H10" i="20"/>
  <c r="W13" i="20"/>
  <c r="X14" i="20"/>
  <c r="V15" i="20"/>
  <c r="W16" i="20"/>
  <c r="W18" i="20"/>
  <c r="Z18" i="20"/>
  <c r="U27" i="20"/>
  <c r="Z27" i="20"/>
  <c r="AA27" i="20" s="1"/>
  <c r="W33" i="20"/>
  <c r="X34" i="20"/>
  <c r="Z34" i="20" s="1"/>
  <c r="V36" i="20"/>
  <c r="V35" i="20" s="1"/>
  <c r="X38" i="20"/>
  <c r="Z38" i="20" s="1"/>
  <c r="Z37" i="20" s="1"/>
  <c r="J11" i="21"/>
  <c r="U3" i="21"/>
  <c r="J3" i="21"/>
  <c r="X4" i="21"/>
  <c r="X3" i="21" s="1"/>
  <c r="V3" i="21"/>
  <c r="U52" i="21"/>
  <c r="Z3" i="21"/>
  <c r="AB3" i="21" s="1"/>
  <c r="Z29" i="21"/>
  <c r="R3" i="21"/>
  <c r="J8" i="21"/>
  <c r="I11" i="21"/>
  <c r="K11" i="21"/>
  <c r="K81" i="21" s="1"/>
  <c r="M11" i="21"/>
  <c r="Z31" i="21"/>
  <c r="Z33" i="21"/>
  <c r="J52" i="21"/>
  <c r="N55" i="21"/>
  <c r="M52" i="21"/>
  <c r="Z32" i="21"/>
  <c r="W50" i="21"/>
  <c r="J50" i="21"/>
  <c r="X50" i="21"/>
  <c r="L56" i="21"/>
  <c r="L75" i="21"/>
  <c r="L71" i="21"/>
  <c r="V73" i="21"/>
  <c r="L73" i="21"/>
  <c r="W73" i="21"/>
  <c r="J75" i="21"/>
  <c r="Z80" i="21"/>
  <c r="U9" i="20"/>
  <c r="Z9" i="20" s="1"/>
  <c r="W9" i="20"/>
  <c r="L6" i="20"/>
  <c r="X17" i="20"/>
  <c r="V17" i="20"/>
  <c r="W17" i="20"/>
  <c r="U17" i="20"/>
  <c r="Z17" i="20" s="1"/>
  <c r="U4" i="20"/>
  <c r="Z4" i="20" s="1"/>
  <c r="X5" i="20"/>
  <c r="U7" i="20"/>
  <c r="V8" i="20"/>
  <c r="V12" i="20"/>
  <c r="X13" i="20"/>
  <c r="U14" i="20"/>
  <c r="X15" i="20"/>
  <c r="Z15" i="20" s="1"/>
  <c r="V16" i="20"/>
  <c r="V18" i="20"/>
  <c r="X28" i="20"/>
  <c r="X36" i="20"/>
  <c r="X35" i="20" s="1"/>
  <c r="X8" i="20"/>
  <c r="V11" i="20"/>
  <c r="X11" i="20"/>
  <c r="X12" i="20"/>
  <c r="V13" i="20"/>
  <c r="X16" i="20"/>
  <c r="V19" i="20"/>
  <c r="X26" i="20"/>
  <c r="V26" i="20"/>
  <c r="U26" i="20"/>
  <c r="J30" i="20"/>
  <c r="J3" i="20"/>
  <c r="V4" i="20"/>
  <c r="U5" i="20"/>
  <c r="K6" i="20"/>
  <c r="M6" i="20"/>
  <c r="V7" i="20"/>
  <c r="U8" i="20"/>
  <c r="V9" i="20"/>
  <c r="J10" i="20"/>
  <c r="U11" i="20"/>
  <c r="U12" i="20"/>
  <c r="U13" i="20"/>
  <c r="V14" i="20"/>
  <c r="U15" i="20"/>
  <c r="U16" i="20"/>
  <c r="U18" i="20"/>
  <c r="U19" i="20"/>
  <c r="L24" i="20"/>
  <c r="V24" i="20" s="1"/>
  <c r="Z24" i="20" s="1"/>
  <c r="K23" i="20"/>
  <c r="J25" i="20"/>
  <c r="L25" i="20"/>
  <c r="W28" i="20"/>
  <c r="W29" i="20"/>
  <c r="U29" i="20"/>
  <c r="X29" i="20"/>
  <c r="W36" i="20"/>
  <c r="W35" i="20" s="1"/>
  <c r="V27" i="20"/>
  <c r="U28" i="20"/>
  <c r="V33" i="20"/>
  <c r="V34" i="20"/>
  <c r="U36" i="20"/>
  <c r="U35" i="20" s="1"/>
  <c r="U38" i="20"/>
  <c r="U37" i="20" s="1"/>
  <c r="J5" i="16"/>
  <c r="L5" i="16"/>
  <c r="L10" i="16"/>
  <c r="W12" i="16"/>
  <c r="N10" i="16"/>
  <c r="W13" i="16"/>
  <c r="W14" i="16"/>
  <c r="W22" i="16"/>
  <c r="X24" i="16"/>
  <c r="X27" i="16"/>
  <c r="X28" i="16"/>
  <c r="W30" i="16"/>
  <c r="W33" i="16"/>
  <c r="Z33" i="16" s="1"/>
  <c r="W34" i="16"/>
  <c r="X35" i="16"/>
  <c r="Y35" i="16"/>
  <c r="Z35" i="16" s="1"/>
  <c r="Y36" i="16"/>
  <c r="Z36" i="16" s="1"/>
  <c r="X38" i="16"/>
  <c r="W40" i="16"/>
  <c r="W43" i="16"/>
  <c r="W44" i="16"/>
  <c r="W45" i="16"/>
  <c r="X46" i="16"/>
  <c r="W48" i="16"/>
  <c r="W49" i="16"/>
  <c r="W50" i="16"/>
  <c r="Z50" i="16" s="1"/>
  <c r="V52" i="16"/>
  <c r="J66" i="16"/>
  <c r="L66" i="16"/>
  <c r="W88" i="16"/>
  <c r="X89" i="16"/>
  <c r="V90" i="16"/>
  <c r="Z90" i="16" s="1"/>
  <c r="W98" i="16"/>
  <c r="X101" i="16"/>
  <c r="H66" i="16"/>
  <c r="J86" i="16"/>
  <c r="W68" i="16"/>
  <c r="Y68" i="16"/>
  <c r="Z68" i="16" s="1"/>
  <c r="W69" i="16"/>
  <c r="J71" i="16"/>
  <c r="J82" i="16"/>
  <c r="L82" i="16"/>
  <c r="X111" i="16"/>
  <c r="H82" i="16"/>
  <c r="X26" i="16"/>
  <c r="H86" i="16"/>
  <c r="K112" i="16"/>
  <c r="M112" i="16"/>
  <c r="X7" i="16"/>
  <c r="X18" i="16"/>
  <c r="X25" i="16"/>
  <c r="V51" i="16"/>
  <c r="W54" i="16"/>
  <c r="X56" i="16"/>
  <c r="W57" i="16"/>
  <c r="X59" i="16"/>
  <c r="X60" i="16"/>
  <c r="X63" i="16"/>
  <c r="X76" i="16"/>
  <c r="X77" i="16"/>
  <c r="W81" i="16"/>
  <c r="W80" i="16" s="1"/>
  <c r="X83" i="16"/>
  <c r="X84" i="16"/>
  <c r="X85" i="16"/>
  <c r="X92" i="16"/>
  <c r="W95" i="16"/>
  <c r="W96" i="16"/>
  <c r="X105" i="16"/>
  <c r="X104" i="16" s="1"/>
  <c r="H73" i="16"/>
  <c r="W75" i="16"/>
  <c r="L73" i="16"/>
  <c r="W79" i="16"/>
  <c r="W78" i="16" s="1"/>
  <c r="L78" i="16"/>
  <c r="W103" i="16"/>
  <c r="W102" i="16" s="1"/>
  <c r="J102" i="16"/>
  <c r="I112" i="16"/>
  <c r="W6" i="16"/>
  <c r="U7" i="16"/>
  <c r="W8" i="16"/>
  <c r="X9" i="16"/>
  <c r="X11" i="16"/>
  <c r="X14" i="16"/>
  <c r="Y16" i="16"/>
  <c r="W17" i="16"/>
  <c r="L16" i="16"/>
  <c r="W19" i="16"/>
  <c r="N16" i="16"/>
  <c r="W21" i="16"/>
  <c r="W53" i="16"/>
  <c r="Z53" i="16" s="1"/>
  <c r="X74" i="16"/>
  <c r="U74" i="16"/>
  <c r="J73" i="16"/>
  <c r="W87" i="16"/>
  <c r="W97" i="16"/>
  <c r="H106" i="16"/>
  <c r="X22" i="16"/>
  <c r="W24" i="16"/>
  <c r="W25" i="16"/>
  <c r="W26" i="16"/>
  <c r="W27" i="16"/>
  <c r="W28" i="16"/>
  <c r="W29" i="16"/>
  <c r="X30" i="16"/>
  <c r="Y32" i="16"/>
  <c r="Z32" i="16" s="1"/>
  <c r="X34" i="16"/>
  <c r="W35" i="16"/>
  <c r="W36" i="16"/>
  <c r="W38" i="16"/>
  <c r="Y38" i="16"/>
  <c r="Z38" i="16" s="1"/>
  <c r="W39" i="16"/>
  <c r="X40" i="16"/>
  <c r="X43" i="16"/>
  <c r="X44" i="16"/>
  <c r="Z44" i="16" s="1"/>
  <c r="X45" i="16"/>
  <c r="W46" i="16"/>
  <c r="W47" i="16"/>
  <c r="W58" i="16"/>
  <c r="W60" i="16"/>
  <c r="X62" i="16"/>
  <c r="Y62" i="16"/>
  <c r="Z62" i="16" s="1"/>
  <c r="H61" i="16"/>
  <c r="L61" i="16"/>
  <c r="Y63" i="16"/>
  <c r="Z63" i="16" s="1"/>
  <c r="X67" i="16"/>
  <c r="Y67" i="16"/>
  <c r="Z67" i="16" s="1"/>
  <c r="X68" i="16"/>
  <c r="X69" i="16"/>
  <c r="Y69" i="16"/>
  <c r="Z69" i="16" s="1"/>
  <c r="W70" i="16"/>
  <c r="Y70" i="16"/>
  <c r="Z70" i="16" s="1"/>
  <c r="Y72" i="16"/>
  <c r="Z72" i="16" s="1"/>
  <c r="Z71" i="16" s="1"/>
  <c r="Y74" i="16"/>
  <c r="Z74" i="16" s="1"/>
  <c r="X75" i="16"/>
  <c r="W76" i="16"/>
  <c r="Z76" i="16" s="1"/>
  <c r="W77" i="16"/>
  <c r="X79" i="16"/>
  <c r="X78" i="16" s="1"/>
  <c r="X81" i="16"/>
  <c r="X80" i="16" s="1"/>
  <c r="Y81" i="16"/>
  <c r="Z81" i="16" s="1"/>
  <c r="Z80" i="16" s="1"/>
  <c r="W83" i="16"/>
  <c r="W84" i="16"/>
  <c r="W85" i="16"/>
  <c r="N86" i="16"/>
  <c r="L86" i="16"/>
  <c r="U92" i="16"/>
  <c r="Z92" i="16" s="1"/>
  <c r="W93" i="16"/>
  <c r="V94" i="16"/>
  <c r="X95" i="16"/>
  <c r="X96" i="16"/>
  <c r="X98" i="16"/>
  <c r="Z98" i="16" s="1"/>
  <c r="X100" i="16"/>
  <c r="X99" i="16" s="1"/>
  <c r="H99" i="16"/>
  <c r="L99" i="16"/>
  <c r="X103" i="16"/>
  <c r="X102" i="16" s="1"/>
  <c r="X107" i="16"/>
  <c r="X108" i="16"/>
  <c r="X109" i="16"/>
  <c r="Z109" i="16" s="1"/>
  <c r="W110" i="16"/>
  <c r="W111" i="16"/>
  <c r="H5" i="16"/>
  <c r="W4" i="16"/>
  <c r="W3" i="16" s="1"/>
  <c r="U4" i="16"/>
  <c r="U3" i="16" s="1"/>
  <c r="J3" i="16"/>
  <c r="X4" i="16"/>
  <c r="X3" i="16" s="1"/>
  <c r="V4" i="16"/>
  <c r="V3" i="16" s="1"/>
  <c r="Y5" i="16"/>
  <c r="Z8" i="16"/>
  <c r="Y4" i="16"/>
  <c r="R3" i="16"/>
  <c r="R112" i="16" s="1"/>
  <c r="Z4" i="16"/>
  <c r="Z3" i="16" s="1"/>
  <c r="W23" i="16"/>
  <c r="U23" i="16"/>
  <c r="Z23" i="16" s="1"/>
  <c r="X23" i="16"/>
  <c r="V23" i="16"/>
  <c r="X37" i="16"/>
  <c r="V37" i="16"/>
  <c r="W37" i="16"/>
  <c r="U37" i="16"/>
  <c r="Y37" i="16" s="1"/>
  <c r="Z37" i="16" s="1"/>
  <c r="W42" i="16"/>
  <c r="U42" i="16"/>
  <c r="Z42" i="16" s="1"/>
  <c r="X42" i="16"/>
  <c r="V42" i="16"/>
  <c r="V6" i="16"/>
  <c r="W7" i="16"/>
  <c r="V8" i="16"/>
  <c r="X8" i="16"/>
  <c r="U9" i="16"/>
  <c r="W9" i="16"/>
  <c r="U11" i="16"/>
  <c r="W11" i="16"/>
  <c r="V12" i="16"/>
  <c r="X12" i="16"/>
  <c r="V13" i="16"/>
  <c r="Z13" i="16" s="1"/>
  <c r="X13" i="16"/>
  <c r="U14" i="16"/>
  <c r="V15" i="16"/>
  <c r="X15" i="16"/>
  <c r="V17" i="16"/>
  <c r="X17" i="16"/>
  <c r="U18" i="16"/>
  <c r="Z18" i="16" s="1"/>
  <c r="W18" i="16"/>
  <c r="V19" i="16"/>
  <c r="X19" i="16"/>
  <c r="U20" i="16"/>
  <c r="Z20" i="16" s="1"/>
  <c r="W20" i="16"/>
  <c r="V21" i="16"/>
  <c r="Z21" i="16" s="1"/>
  <c r="X21" i="16"/>
  <c r="U22" i="16"/>
  <c r="Z22" i="16" s="1"/>
  <c r="U24" i="16"/>
  <c r="U25" i="16"/>
  <c r="U26" i="16"/>
  <c r="U27" i="16"/>
  <c r="U28" i="16"/>
  <c r="Z28" i="16" s="1"/>
  <c r="V29" i="16"/>
  <c r="X29" i="16"/>
  <c r="V30" i="16"/>
  <c r="V31" i="16"/>
  <c r="X31" i="16"/>
  <c r="V32" i="16"/>
  <c r="X32" i="16"/>
  <c r="V33" i="16"/>
  <c r="X33" i="16"/>
  <c r="U34" i="16"/>
  <c r="V35" i="16"/>
  <c r="V36" i="16"/>
  <c r="X36" i="16"/>
  <c r="V38" i="16"/>
  <c r="V39" i="16"/>
  <c r="V40" i="16"/>
  <c r="U41" i="16"/>
  <c r="Z41" i="16" s="1"/>
  <c r="W41" i="16"/>
  <c r="V43" i="16"/>
  <c r="V44" i="16"/>
  <c r="V45" i="16"/>
  <c r="Z45" i="16" s="1"/>
  <c r="U46" i="16"/>
  <c r="V47" i="16"/>
  <c r="Z47" i="16" s="1"/>
  <c r="X47" i="16"/>
  <c r="X52" i="16"/>
  <c r="X55" i="16"/>
  <c r="V55" i="16"/>
  <c r="Y66" i="16"/>
  <c r="X6" i="16"/>
  <c r="L112" i="16"/>
  <c r="U6" i="16"/>
  <c r="V7" i="16"/>
  <c r="Z7" i="16" s="1"/>
  <c r="U8" i="16"/>
  <c r="V9" i="16"/>
  <c r="J10" i="16"/>
  <c r="V11" i="16"/>
  <c r="U12" i="16"/>
  <c r="U13" i="16"/>
  <c r="V14" i="16"/>
  <c r="Z14" i="16" s="1"/>
  <c r="U15" i="16"/>
  <c r="Z15" i="16" s="1"/>
  <c r="J16" i="16"/>
  <c r="U17" i="16"/>
  <c r="V18" i="16"/>
  <c r="U19" i="16"/>
  <c r="Z19" i="16" s="1"/>
  <c r="V20" i="16"/>
  <c r="U21" i="16"/>
  <c r="V22" i="16"/>
  <c r="V24" i="16"/>
  <c r="V25" i="16"/>
  <c r="V26" i="16"/>
  <c r="V27" i="16"/>
  <c r="V28" i="16"/>
  <c r="U29" i="16"/>
  <c r="Z29" i="16" s="1"/>
  <c r="U30" i="16"/>
  <c r="U31" i="16"/>
  <c r="U32" i="16"/>
  <c r="U33" i="16"/>
  <c r="V34" i="16"/>
  <c r="U35" i="16"/>
  <c r="U36" i="16"/>
  <c r="U38" i="16"/>
  <c r="U39" i="16"/>
  <c r="U40" i="16"/>
  <c r="Z40" i="16" s="1"/>
  <c r="V41" i="16"/>
  <c r="U43" i="16"/>
  <c r="Z43" i="16" s="1"/>
  <c r="U44" i="16"/>
  <c r="U45" i="16"/>
  <c r="V46" i="16"/>
  <c r="Z46" i="16" s="1"/>
  <c r="U47" i="16"/>
  <c r="X48" i="16"/>
  <c r="V48" i="16"/>
  <c r="Z48" i="16" s="1"/>
  <c r="U48" i="16"/>
  <c r="X49" i="16"/>
  <c r="V49" i="16"/>
  <c r="U49" i="16"/>
  <c r="Z49" i="16" s="1"/>
  <c r="X50" i="16"/>
  <c r="V50" i="16"/>
  <c r="U50" i="16"/>
  <c r="W51" i="16"/>
  <c r="U51" i="16"/>
  <c r="X51" i="16"/>
  <c r="Z51" i="16" s="1"/>
  <c r="W52" i="16"/>
  <c r="X53" i="16"/>
  <c r="V53" i="16"/>
  <c r="U53" i="16"/>
  <c r="X54" i="16"/>
  <c r="V54" i="16"/>
  <c r="U54" i="16"/>
  <c r="W55" i="16"/>
  <c r="X61" i="16"/>
  <c r="U56" i="16"/>
  <c r="Z56" i="16" s="1"/>
  <c r="W56" i="16"/>
  <c r="V57" i="16"/>
  <c r="X57" i="16"/>
  <c r="V58" i="16"/>
  <c r="X58" i="16"/>
  <c r="U59" i="16"/>
  <c r="W59" i="16"/>
  <c r="U60" i="16"/>
  <c r="U62" i="16"/>
  <c r="W62" i="16"/>
  <c r="U63" i="16"/>
  <c r="W63" i="16"/>
  <c r="V65" i="16"/>
  <c r="X65" i="16"/>
  <c r="X64" i="16" s="1"/>
  <c r="U67" i="16"/>
  <c r="W67" i="16"/>
  <c r="W66" i="16" s="1"/>
  <c r="U68" i="16"/>
  <c r="V69" i="16"/>
  <c r="V70" i="16"/>
  <c r="X70" i="16"/>
  <c r="V72" i="16"/>
  <c r="V71" i="16" s="1"/>
  <c r="X72" i="16"/>
  <c r="X71" i="16" s="1"/>
  <c r="U75" i="16"/>
  <c r="V76" i="16"/>
  <c r="U77" i="16"/>
  <c r="Z77" i="16" s="1"/>
  <c r="Z73" i="16" s="1"/>
  <c r="U79" i="16"/>
  <c r="V81" i="16"/>
  <c r="V80" i="16" s="1"/>
  <c r="V83" i="16"/>
  <c r="V84" i="16"/>
  <c r="Z84" i="16" s="1"/>
  <c r="U85" i="16"/>
  <c r="Z85" i="16" s="1"/>
  <c r="X91" i="16"/>
  <c r="W92" i="16"/>
  <c r="U52" i="16"/>
  <c r="U55" i="16"/>
  <c r="V56" i="16"/>
  <c r="U57" i="16"/>
  <c r="Y57" i="16"/>
  <c r="Z57" i="16" s="1"/>
  <c r="U58" i="16"/>
  <c r="V59" i="16"/>
  <c r="V60" i="16"/>
  <c r="J61" i="16"/>
  <c r="V62" i="16"/>
  <c r="V63" i="16"/>
  <c r="J64" i="16"/>
  <c r="U65" i="16"/>
  <c r="U64" i="16" s="1"/>
  <c r="V67" i="16"/>
  <c r="V68" i="16"/>
  <c r="U69" i="16"/>
  <c r="U70" i="16"/>
  <c r="U72" i="16"/>
  <c r="U71" i="16" s="1"/>
  <c r="V74" i="16"/>
  <c r="V75" i="16"/>
  <c r="U76" i="16"/>
  <c r="V77" i="16"/>
  <c r="V79" i="16"/>
  <c r="V78" i="16" s="1"/>
  <c r="U81" i="16"/>
  <c r="U80" i="16" s="1"/>
  <c r="U83" i="16"/>
  <c r="U84" i="16"/>
  <c r="V85" i="16"/>
  <c r="X87" i="16"/>
  <c r="V87" i="16"/>
  <c r="U87" i="16"/>
  <c r="X88" i="16"/>
  <c r="V88" i="16"/>
  <c r="U88" i="16"/>
  <c r="Z88" i="16" s="1"/>
  <c r="W89" i="16"/>
  <c r="U89" i="16"/>
  <c r="V89" i="16"/>
  <c r="W90" i="16"/>
  <c r="U90" i="16"/>
  <c r="X90" i="16"/>
  <c r="W91" i="16"/>
  <c r="Z91" i="16" s="1"/>
  <c r="V91" i="16"/>
  <c r="X93" i="16"/>
  <c r="V93" i="16"/>
  <c r="U93" i="16"/>
  <c r="Z93" i="16" s="1"/>
  <c r="W94" i="16"/>
  <c r="U94" i="16"/>
  <c r="Z94" i="16" s="1"/>
  <c r="X94" i="16"/>
  <c r="V95" i="16"/>
  <c r="V96" i="16"/>
  <c r="V98" i="16"/>
  <c r="U100" i="16"/>
  <c r="W100" i="16"/>
  <c r="U101" i="16"/>
  <c r="Z101" i="16" s="1"/>
  <c r="Z99" i="16" s="1"/>
  <c r="W101" i="16"/>
  <c r="V103" i="16"/>
  <c r="V102" i="16" s="1"/>
  <c r="U105" i="16"/>
  <c r="U104" i="16" s="1"/>
  <c r="W105" i="16"/>
  <c r="W104" i="16" s="1"/>
  <c r="U107" i="16"/>
  <c r="W107" i="16"/>
  <c r="U108" i="16"/>
  <c r="W108" i="16"/>
  <c r="Z108" i="16" s="1"/>
  <c r="U109" i="16"/>
  <c r="W109" i="16"/>
  <c r="V110" i="16"/>
  <c r="Z110" i="16" s="1"/>
  <c r="X110" i="16"/>
  <c r="V111" i="16"/>
  <c r="U91" i="16"/>
  <c r="V92" i="16"/>
  <c r="U95" i="16"/>
  <c r="Z95" i="16" s="1"/>
  <c r="U96" i="16"/>
  <c r="V97" i="16"/>
  <c r="U98" i="16"/>
  <c r="J99" i="16"/>
  <c r="V100" i="16"/>
  <c r="V101" i="16"/>
  <c r="U103" i="16"/>
  <c r="J104" i="16"/>
  <c r="V105" i="16"/>
  <c r="V104" i="16" s="1"/>
  <c r="J106" i="16"/>
  <c r="V107" i="16"/>
  <c r="V108" i="16"/>
  <c r="V109" i="16"/>
  <c r="U110" i="16"/>
  <c r="U111" i="16"/>
  <c r="Z111" i="16" s="1"/>
  <c r="H39" i="20" l="1"/>
  <c r="H41" i="20" s="1"/>
  <c r="N39" i="20"/>
  <c r="Z74" i="21"/>
  <c r="Z73" i="21" s="1"/>
  <c r="AB73" i="21" s="1"/>
  <c r="Y11" i="21"/>
  <c r="Y81" i="21" s="1"/>
  <c r="Z18" i="21"/>
  <c r="Z36" i="20"/>
  <c r="Z33" i="20"/>
  <c r="Z32" i="20" s="1"/>
  <c r="Y32" i="20"/>
  <c r="Z31" i="20"/>
  <c r="AB31" i="20" s="1"/>
  <c r="T39" i="20"/>
  <c r="Y6" i="20"/>
  <c r="Y3" i="20"/>
  <c r="U75" i="21"/>
  <c r="V75" i="21"/>
  <c r="U56" i="21"/>
  <c r="M81" i="21"/>
  <c r="I81" i="21"/>
  <c r="I82" i="21" s="1"/>
  <c r="U8" i="21"/>
  <c r="U5" i="21"/>
  <c r="M39" i="20"/>
  <c r="P39" i="20"/>
  <c r="P41" i="20" s="1"/>
  <c r="V6" i="20"/>
  <c r="J39" i="20"/>
  <c r="K39" i="20"/>
  <c r="K82" i="21" s="1"/>
  <c r="K84" i="21" s="1"/>
  <c r="U11" i="21"/>
  <c r="J81" i="21"/>
  <c r="L81" i="21"/>
  <c r="X8" i="21"/>
  <c r="W69" i="21"/>
  <c r="W5" i="21"/>
  <c r="W75" i="21"/>
  <c r="X47" i="21"/>
  <c r="H83" i="21"/>
  <c r="N52" i="21"/>
  <c r="N81" i="21" s="1"/>
  <c r="X69" i="21"/>
  <c r="W47" i="21"/>
  <c r="X52" i="21"/>
  <c r="W8" i="21"/>
  <c r="X5" i="21"/>
  <c r="X31" i="20"/>
  <c r="X30" i="20" s="1"/>
  <c r="W37" i="20"/>
  <c r="W6" i="20"/>
  <c r="Y25" i="20"/>
  <c r="X37" i="20"/>
  <c r="V37" i="20"/>
  <c r="W32" i="20"/>
  <c r="W31" i="20"/>
  <c r="W30" i="20" s="1"/>
  <c r="U31" i="20"/>
  <c r="U30" i="20" s="1"/>
  <c r="V31" i="20"/>
  <c r="V30" i="20" s="1"/>
  <c r="Z25" i="20"/>
  <c r="Y10" i="20"/>
  <c r="U32" i="20"/>
  <c r="W3" i="20"/>
  <c r="V32" i="20"/>
  <c r="X32" i="20"/>
  <c r="W10" i="20"/>
  <c r="X3" i="20"/>
  <c r="W56" i="21"/>
  <c r="X75" i="21"/>
  <c r="X56" i="21"/>
  <c r="Z8" i="21"/>
  <c r="AB8" i="21" s="1"/>
  <c r="Z39" i="21"/>
  <c r="V11" i="21"/>
  <c r="Z72" i="21"/>
  <c r="Z71" i="21" s="1"/>
  <c r="AB71" i="21" s="1"/>
  <c r="Z76" i="21"/>
  <c r="Z75" i="21" s="1"/>
  <c r="AB75" i="21" s="1"/>
  <c r="V56" i="21"/>
  <c r="V47" i="21"/>
  <c r="Z51" i="21"/>
  <c r="Z50" i="21" s="1"/>
  <c r="AB50" i="21" s="1"/>
  <c r="Z52" i="21"/>
  <c r="AB52" i="21" s="1"/>
  <c r="W52" i="21"/>
  <c r="V52" i="21"/>
  <c r="Z6" i="21"/>
  <c r="Z5" i="21" s="1"/>
  <c r="AB5" i="21" s="1"/>
  <c r="V5" i="21"/>
  <c r="W11" i="21"/>
  <c r="X11" i="21"/>
  <c r="V23" i="20"/>
  <c r="Z23" i="20"/>
  <c r="AB23" i="20" s="1"/>
  <c r="W25" i="20"/>
  <c r="W24" i="20"/>
  <c r="W23" i="20" s="1"/>
  <c r="L23" i="20"/>
  <c r="L39" i="20" s="1"/>
  <c r="U24" i="20"/>
  <c r="U23" i="20" s="1"/>
  <c r="Z10" i="20"/>
  <c r="AB10" i="20" s="1"/>
  <c r="U10" i="20"/>
  <c r="Z6" i="20"/>
  <c r="AB6" i="20" s="1"/>
  <c r="U6" i="20"/>
  <c r="V3" i="20"/>
  <c r="U25" i="20"/>
  <c r="X25" i="20"/>
  <c r="V25" i="20"/>
  <c r="X24" i="20"/>
  <c r="X23" i="20" s="1"/>
  <c r="X10" i="20"/>
  <c r="V10" i="20"/>
  <c r="X6" i="20"/>
  <c r="U3" i="20"/>
  <c r="Z3" i="20"/>
  <c r="AB3" i="20" s="1"/>
  <c r="W10" i="16"/>
  <c r="W73" i="16"/>
  <c r="N112" i="16"/>
  <c r="Z61" i="16"/>
  <c r="X82" i="16"/>
  <c r="U73" i="16"/>
  <c r="X10" i="16"/>
  <c r="W5" i="16"/>
  <c r="X106" i="16"/>
  <c r="V66" i="16"/>
  <c r="V61" i="16"/>
  <c r="X66" i="16"/>
  <c r="X5" i="16"/>
  <c r="Z66" i="16"/>
  <c r="W16" i="16"/>
  <c r="W82" i="16"/>
  <c r="X73" i="16"/>
  <c r="V106" i="16"/>
  <c r="Z103" i="16"/>
  <c r="Z102" i="16" s="1"/>
  <c r="U102" i="16"/>
  <c r="V99" i="16"/>
  <c r="Z107" i="16"/>
  <c r="Z106" i="16" s="1"/>
  <c r="U106" i="16"/>
  <c r="W99" i="16"/>
  <c r="V86" i="16"/>
  <c r="Z83" i="16"/>
  <c r="Z82" i="16" s="1"/>
  <c r="U82" i="16"/>
  <c r="V73" i="16"/>
  <c r="U66" i="16"/>
  <c r="Y65" i="16"/>
  <c r="Z65" i="16" s="1"/>
  <c r="Z64" i="16" s="1"/>
  <c r="V64" i="16"/>
  <c r="U61" i="16"/>
  <c r="Z6" i="16"/>
  <c r="Z5" i="16" s="1"/>
  <c r="U5" i="16"/>
  <c r="X16" i="16"/>
  <c r="Z11" i="16"/>
  <c r="Z10" i="16" s="1"/>
  <c r="U10" i="16"/>
  <c r="V5" i="16"/>
  <c r="W106" i="16"/>
  <c r="U99" i="16"/>
  <c r="W86" i="16"/>
  <c r="Z87" i="16"/>
  <c r="Z86" i="16" s="1"/>
  <c r="U86" i="16"/>
  <c r="X86" i="16"/>
  <c r="V82" i="16"/>
  <c r="U78" i="16"/>
  <c r="Z79" i="16"/>
  <c r="Z78" i="16" s="1"/>
  <c r="W61" i="16"/>
  <c r="Z17" i="16"/>
  <c r="Z16" i="16" s="1"/>
  <c r="U16" i="16"/>
  <c r="V10" i="16"/>
  <c r="V16" i="16"/>
  <c r="Y112" i="16"/>
  <c r="J112" i="16"/>
  <c r="M82" i="21" l="1"/>
  <c r="Z35" i="20"/>
  <c r="AB35" i="20" s="1"/>
  <c r="AB39" i="20" s="1"/>
  <c r="Z30" i="20"/>
  <c r="U81" i="21"/>
  <c r="Z11" i="21"/>
  <c r="AB11" i="21" s="1"/>
  <c r="AB81" i="21" s="1"/>
  <c r="U39" i="20"/>
  <c r="X39" i="20"/>
  <c r="V39" i="20"/>
  <c r="W39" i="20"/>
  <c r="Y39" i="20"/>
  <c r="W81" i="21"/>
  <c r="V81" i="21"/>
  <c r="X81" i="21"/>
  <c r="V112" i="16"/>
  <c r="U112" i="16"/>
  <c r="Z112" i="16"/>
  <c r="W112" i="16"/>
  <c r="X112" i="16"/>
  <c r="Z39" i="20" l="1"/>
  <c r="Z81" i="21"/>
  <c r="F108" i="4"/>
  <c r="G3" i="4"/>
  <c r="H3" i="4" s="1"/>
  <c r="I3" i="4" s="1"/>
  <c r="G4" i="4"/>
  <c r="H4" i="4" s="1"/>
  <c r="I4" i="4" s="1"/>
  <c r="G5" i="4"/>
  <c r="H5" i="4" s="1"/>
  <c r="I5" i="4" s="1"/>
  <c r="G6" i="4"/>
  <c r="H6" i="4" s="1"/>
  <c r="I6" i="4" s="1"/>
  <c r="G7" i="4"/>
  <c r="H7" i="4" s="1"/>
  <c r="I7" i="4" s="1"/>
  <c r="G8" i="4"/>
  <c r="H8" i="4" s="1"/>
  <c r="I8" i="4" s="1"/>
  <c r="G9" i="4"/>
  <c r="H9" i="4" s="1"/>
  <c r="I9" i="4" s="1"/>
  <c r="G10" i="4"/>
  <c r="H10" i="4" s="1"/>
  <c r="I10" i="4" s="1"/>
  <c r="G11" i="4"/>
  <c r="H11" i="4" s="1"/>
  <c r="I11" i="4" s="1"/>
  <c r="G12" i="4"/>
  <c r="H12" i="4" s="1"/>
  <c r="I12" i="4" s="1"/>
  <c r="G13" i="4"/>
  <c r="H13" i="4" s="1"/>
  <c r="I13" i="4" s="1"/>
  <c r="G14" i="4"/>
  <c r="H14" i="4" s="1"/>
  <c r="I14" i="4" s="1"/>
  <c r="G15" i="4"/>
  <c r="H15" i="4" s="1"/>
  <c r="I15" i="4" s="1"/>
  <c r="G16" i="4"/>
  <c r="H16" i="4" s="1"/>
  <c r="I16" i="4" s="1"/>
  <c r="G17" i="4"/>
  <c r="H17" i="4" s="1"/>
  <c r="I17" i="4" s="1"/>
  <c r="G18" i="4"/>
  <c r="H18" i="4" s="1"/>
  <c r="I18" i="4" s="1"/>
  <c r="G19" i="4"/>
  <c r="H19" i="4" s="1"/>
  <c r="I19" i="4" s="1"/>
  <c r="G20" i="4"/>
  <c r="H20" i="4" s="1"/>
  <c r="I20" i="4" s="1"/>
  <c r="G21" i="4"/>
  <c r="H21" i="4" s="1"/>
  <c r="I21" i="4" s="1"/>
  <c r="G22" i="4"/>
  <c r="H22" i="4" s="1"/>
  <c r="I22" i="4" s="1"/>
  <c r="G23" i="4"/>
  <c r="H23" i="4" s="1"/>
  <c r="I23" i="4" s="1"/>
  <c r="G24" i="4"/>
  <c r="H24" i="4" s="1"/>
  <c r="I24" i="4" s="1"/>
  <c r="G25" i="4"/>
  <c r="H25" i="4" s="1"/>
  <c r="I25" i="4" s="1"/>
  <c r="G26" i="4"/>
  <c r="H26" i="4" s="1"/>
  <c r="I26" i="4" s="1"/>
  <c r="G27" i="4"/>
  <c r="H27" i="4" s="1"/>
  <c r="I27" i="4" s="1"/>
  <c r="G28" i="4"/>
  <c r="H28" i="4" s="1"/>
  <c r="I28" i="4" s="1"/>
  <c r="G29" i="4"/>
  <c r="H29" i="4" s="1"/>
  <c r="I29" i="4" s="1"/>
  <c r="G30" i="4"/>
  <c r="H30" i="4" s="1"/>
  <c r="I30" i="4" s="1"/>
  <c r="G31" i="4"/>
  <c r="H31" i="4" s="1"/>
  <c r="I31" i="4" s="1"/>
  <c r="G32" i="4"/>
  <c r="H32" i="4" s="1"/>
  <c r="I32" i="4" s="1"/>
  <c r="G33" i="4"/>
  <c r="G34" i="4"/>
  <c r="H34" i="4" s="1"/>
  <c r="I34" i="4" s="1"/>
  <c r="G35" i="4"/>
  <c r="H35" i="4" s="1"/>
  <c r="I35" i="4" s="1"/>
  <c r="G36" i="4"/>
  <c r="H36" i="4" s="1"/>
  <c r="I36" i="4" s="1"/>
  <c r="G37" i="4"/>
  <c r="H37" i="4" s="1"/>
  <c r="I37" i="4" s="1"/>
  <c r="G38" i="4"/>
  <c r="H38" i="4" s="1"/>
  <c r="I38" i="4" s="1"/>
  <c r="G39" i="4"/>
  <c r="H39" i="4" s="1"/>
  <c r="I39" i="4" s="1"/>
  <c r="G40" i="4"/>
  <c r="H40" i="4" s="1"/>
  <c r="I40" i="4" s="1"/>
  <c r="G41" i="4"/>
  <c r="H41" i="4" s="1"/>
  <c r="I41" i="4" s="1"/>
  <c r="G42" i="4"/>
  <c r="H42" i="4" s="1"/>
  <c r="I42" i="4" s="1"/>
  <c r="G43" i="4"/>
  <c r="H43" i="4" s="1"/>
  <c r="I43" i="4" s="1"/>
  <c r="G44" i="4"/>
  <c r="H44" i="4" s="1"/>
  <c r="I44" i="4" s="1"/>
  <c r="G45" i="4"/>
  <c r="H45" i="4" s="1"/>
  <c r="I45" i="4" s="1"/>
  <c r="G46" i="4"/>
  <c r="H46" i="4" s="1"/>
  <c r="I46" i="4" s="1"/>
  <c r="G47" i="4"/>
  <c r="H47" i="4" s="1"/>
  <c r="I47" i="4" s="1"/>
  <c r="G48" i="4"/>
  <c r="H48" i="4" s="1"/>
  <c r="I48" i="4" s="1"/>
  <c r="G49" i="4"/>
  <c r="H49" i="4" s="1"/>
  <c r="I49" i="4" s="1"/>
  <c r="G50" i="4"/>
  <c r="H50" i="4" s="1"/>
  <c r="I50" i="4" s="1"/>
  <c r="G51" i="4"/>
  <c r="H51" i="4" s="1"/>
  <c r="I51" i="4" s="1"/>
  <c r="G52" i="4"/>
  <c r="H52" i="4" s="1"/>
  <c r="I52" i="4" s="1"/>
  <c r="G53" i="4"/>
  <c r="H53" i="4" s="1"/>
  <c r="I53" i="4" s="1"/>
  <c r="G54" i="4"/>
  <c r="H54" i="4" s="1"/>
  <c r="I54" i="4" s="1"/>
  <c r="G55" i="4"/>
  <c r="H55" i="4" s="1"/>
  <c r="I55" i="4" s="1"/>
  <c r="G56" i="4"/>
  <c r="H56" i="4" s="1"/>
  <c r="I56" i="4" s="1"/>
  <c r="G57" i="4"/>
  <c r="H57" i="4" s="1"/>
  <c r="I57" i="4" s="1"/>
  <c r="G58" i="4"/>
  <c r="H58" i="4" s="1"/>
  <c r="I58" i="4" s="1"/>
  <c r="G59" i="4"/>
  <c r="H59" i="4" s="1"/>
  <c r="I59" i="4" s="1"/>
  <c r="G60" i="4"/>
  <c r="H60" i="4" s="1"/>
  <c r="I60" i="4" s="1"/>
  <c r="G61" i="4"/>
  <c r="H61" i="4" s="1"/>
  <c r="I61" i="4" s="1"/>
  <c r="G62" i="4"/>
  <c r="H62" i="4" s="1"/>
  <c r="I62" i="4" s="1"/>
  <c r="G63" i="4"/>
  <c r="H63" i="4" s="1"/>
  <c r="I63" i="4" s="1"/>
  <c r="G64" i="4"/>
  <c r="H64" i="4" s="1"/>
  <c r="I64" i="4" s="1"/>
  <c r="G65" i="4"/>
  <c r="G66" i="4"/>
  <c r="H66" i="4" s="1"/>
  <c r="I66" i="4" s="1"/>
  <c r="G67" i="4"/>
  <c r="H67" i="4" s="1"/>
  <c r="I67" i="4" s="1"/>
  <c r="G68" i="4"/>
  <c r="H68" i="4" s="1"/>
  <c r="I68" i="4" s="1"/>
  <c r="G69" i="4"/>
  <c r="H69" i="4" s="1"/>
  <c r="I69" i="4" s="1"/>
  <c r="G70" i="4"/>
  <c r="H70" i="4" s="1"/>
  <c r="I70" i="4" s="1"/>
  <c r="G71" i="4"/>
  <c r="H71" i="4" s="1"/>
  <c r="I71" i="4" s="1"/>
  <c r="G72" i="4"/>
  <c r="H72" i="4" s="1"/>
  <c r="I72" i="4" s="1"/>
  <c r="G73" i="4"/>
  <c r="H73" i="4" s="1"/>
  <c r="I73" i="4" s="1"/>
  <c r="G74" i="4"/>
  <c r="H74" i="4" s="1"/>
  <c r="I74" i="4" s="1"/>
  <c r="G75" i="4"/>
  <c r="H75" i="4" s="1"/>
  <c r="I75" i="4" s="1"/>
  <c r="G76" i="4"/>
  <c r="H76" i="4" s="1"/>
  <c r="I76" i="4" s="1"/>
  <c r="G77" i="4"/>
  <c r="H77" i="4" s="1"/>
  <c r="I77" i="4" s="1"/>
  <c r="G78" i="4"/>
  <c r="H78" i="4" s="1"/>
  <c r="I78" i="4" s="1"/>
  <c r="G79" i="4"/>
  <c r="H79" i="4" s="1"/>
  <c r="I79" i="4" s="1"/>
  <c r="G80" i="4"/>
  <c r="H80" i="4" s="1"/>
  <c r="I80" i="4" s="1"/>
  <c r="G81" i="4"/>
  <c r="H81" i="4" s="1"/>
  <c r="I81" i="4" s="1"/>
  <c r="G82" i="4"/>
  <c r="H82" i="4" s="1"/>
  <c r="I82" i="4" s="1"/>
  <c r="G83" i="4"/>
  <c r="H83" i="4" s="1"/>
  <c r="I83" i="4" s="1"/>
  <c r="G84" i="4"/>
  <c r="H84" i="4" s="1"/>
  <c r="I84" i="4" s="1"/>
  <c r="G85" i="4"/>
  <c r="H85" i="4" s="1"/>
  <c r="I85" i="4" s="1"/>
  <c r="G86" i="4"/>
  <c r="H86" i="4" s="1"/>
  <c r="I86" i="4" s="1"/>
  <c r="G87" i="4"/>
  <c r="H87" i="4" s="1"/>
  <c r="I87" i="4" s="1"/>
  <c r="G88" i="4"/>
  <c r="H88" i="4" s="1"/>
  <c r="I88" i="4" s="1"/>
  <c r="G89" i="4"/>
  <c r="H89" i="4" s="1"/>
  <c r="I89" i="4" s="1"/>
  <c r="G90" i="4"/>
  <c r="H90" i="4" s="1"/>
  <c r="I90" i="4" s="1"/>
  <c r="G91" i="4"/>
  <c r="H91" i="4" s="1"/>
  <c r="I91" i="4" s="1"/>
  <c r="G92" i="4"/>
  <c r="G93" i="4"/>
  <c r="H93" i="4" s="1"/>
  <c r="I93" i="4" s="1"/>
  <c r="G94" i="4"/>
  <c r="H94" i="4" s="1"/>
  <c r="I94" i="4" s="1"/>
  <c r="G95" i="4"/>
  <c r="H95" i="4" s="1"/>
  <c r="I95" i="4" s="1"/>
  <c r="G96" i="4"/>
  <c r="H96" i="4" s="1"/>
  <c r="I96" i="4" s="1"/>
  <c r="G97" i="4"/>
  <c r="G98" i="4"/>
  <c r="H98" i="4" s="1"/>
  <c r="I98" i="4" s="1"/>
  <c r="G99" i="4"/>
  <c r="H99" i="4" s="1"/>
  <c r="I99" i="4" s="1"/>
  <c r="G100" i="4"/>
  <c r="H100" i="4" s="1"/>
  <c r="I100" i="4" s="1"/>
  <c r="G101" i="4"/>
  <c r="G102" i="4"/>
  <c r="H102" i="4" s="1"/>
  <c r="I102" i="4" s="1"/>
  <c r="G103" i="4"/>
  <c r="H103" i="4" s="1"/>
  <c r="I103" i="4" s="1"/>
  <c r="G104" i="4"/>
  <c r="H104" i="4" s="1"/>
  <c r="I104" i="4" s="1"/>
  <c r="G105" i="4"/>
  <c r="H105" i="4" s="1"/>
  <c r="I105" i="4" s="1"/>
  <c r="G106" i="4"/>
  <c r="H106" i="4" s="1"/>
  <c r="I106" i="4" s="1"/>
  <c r="G107" i="4"/>
  <c r="H107" i="4" s="1"/>
  <c r="I107" i="4" s="1"/>
  <c r="H33" i="4"/>
  <c r="I33" i="4" s="1"/>
  <c r="H65" i="4"/>
  <c r="I65" i="4" s="1"/>
  <c r="H97" i="4"/>
  <c r="I97" i="4" s="1"/>
  <c r="G2" i="4"/>
  <c r="H2" i="4" s="1"/>
  <c r="I2" i="4" s="1"/>
  <c r="F6" i="3"/>
  <c r="F7" i="3"/>
  <c r="F8" i="3"/>
  <c r="F9" i="3"/>
  <c r="F10" i="3"/>
  <c r="F11" i="3"/>
  <c r="F12" i="3"/>
  <c r="F13" i="3"/>
  <c r="F14" i="3"/>
  <c r="F15" i="3"/>
  <c r="F16" i="3"/>
  <c r="F17" i="3"/>
  <c r="F18" i="3"/>
  <c r="F19" i="3"/>
  <c r="F20" i="3"/>
  <c r="F21" i="3"/>
  <c r="F22" i="3"/>
  <c r="F23" i="3"/>
  <c r="F24" i="3"/>
  <c r="F25" i="3"/>
  <c r="F26" i="3"/>
  <c r="F27" i="3"/>
  <c r="F28" i="3"/>
  <c r="F29" i="3"/>
  <c r="F30" i="3"/>
  <c r="F31" i="3"/>
  <c r="F32" i="3"/>
  <c r="F33" i="3"/>
  <c r="F34" i="3"/>
  <c r="F35" i="3"/>
  <c r="F36" i="3"/>
  <c r="F37" i="3"/>
  <c r="F38" i="3"/>
  <c r="F39" i="3"/>
  <c r="F40" i="3"/>
  <c r="F41" i="3"/>
  <c r="F42" i="3"/>
  <c r="F43" i="3"/>
  <c r="F44" i="3"/>
  <c r="F45" i="3"/>
  <c r="F46" i="3"/>
  <c r="F47" i="3"/>
  <c r="F48" i="3"/>
  <c r="F49" i="3"/>
  <c r="F50" i="3"/>
  <c r="F51" i="3"/>
  <c r="F52" i="3"/>
  <c r="F53" i="3"/>
  <c r="F54" i="3"/>
  <c r="F55" i="3"/>
  <c r="F56" i="3"/>
  <c r="F57" i="3"/>
  <c r="F58" i="3"/>
  <c r="F59" i="3"/>
  <c r="F60" i="3"/>
  <c r="F61" i="3"/>
  <c r="F62" i="3"/>
  <c r="F63" i="3"/>
  <c r="F64" i="3"/>
  <c r="F65" i="3"/>
  <c r="F66" i="3"/>
  <c r="F67" i="3"/>
  <c r="F68" i="3"/>
  <c r="F69" i="3"/>
  <c r="F70" i="3"/>
  <c r="F71" i="3"/>
  <c r="F72" i="3"/>
  <c r="F73" i="3"/>
  <c r="F74" i="3"/>
  <c r="F75" i="3"/>
  <c r="F76" i="3"/>
  <c r="F77" i="3"/>
  <c r="F78" i="3"/>
  <c r="F79" i="3"/>
  <c r="F80" i="3"/>
  <c r="F81" i="3"/>
  <c r="F82" i="3"/>
  <c r="F83" i="3"/>
  <c r="F84" i="3"/>
  <c r="F85" i="3"/>
  <c r="F86" i="3"/>
  <c r="F87" i="3"/>
  <c r="F88" i="3"/>
  <c r="F89" i="3"/>
  <c r="F90" i="3"/>
  <c r="F91" i="3"/>
  <c r="F92" i="3"/>
  <c r="F93" i="3"/>
  <c r="F94" i="3"/>
  <c r="F95" i="3"/>
  <c r="F96" i="3"/>
  <c r="F97" i="3"/>
  <c r="F98" i="3"/>
  <c r="F99" i="3"/>
  <c r="F100" i="3"/>
  <c r="F101" i="3"/>
  <c r="F102" i="3"/>
  <c r="F103" i="3"/>
  <c r="F104" i="3"/>
  <c r="F105" i="3"/>
  <c r="F106" i="3"/>
  <c r="F107" i="3"/>
  <c r="F108" i="3"/>
  <c r="F109" i="3"/>
  <c r="F110" i="3"/>
  <c r="G5" i="3"/>
  <c r="G6" i="3"/>
  <c r="G7" i="3"/>
  <c r="H7" i="3" s="1"/>
  <c r="G8" i="3"/>
  <c r="G9" i="3"/>
  <c r="H9" i="3" s="1"/>
  <c r="G10" i="3"/>
  <c r="G11" i="3"/>
  <c r="H11" i="3" s="1"/>
  <c r="G12" i="3"/>
  <c r="G13" i="3"/>
  <c r="H13" i="3" s="1"/>
  <c r="G14" i="3"/>
  <c r="G15" i="3"/>
  <c r="H15" i="3" s="1"/>
  <c r="G16" i="3"/>
  <c r="G17" i="3"/>
  <c r="H17" i="3" s="1"/>
  <c r="G18" i="3"/>
  <c r="G19" i="3"/>
  <c r="H19" i="3" s="1"/>
  <c r="G20" i="3"/>
  <c r="G21" i="3"/>
  <c r="H21" i="3" s="1"/>
  <c r="G22" i="3"/>
  <c r="G23" i="3"/>
  <c r="H23" i="3" s="1"/>
  <c r="G24" i="3"/>
  <c r="G25" i="3"/>
  <c r="H25" i="3" s="1"/>
  <c r="G26" i="3"/>
  <c r="G27" i="3"/>
  <c r="H27" i="3" s="1"/>
  <c r="G28" i="3"/>
  <c r="G29" i="3"/>
  <c r="H29" i="3" s="1"/>
  <c r="G30" i="3"/>
  <c r="G31" i="3"/>
  <c r="H31" i="3" s="1"/>
  <c r="G32" i="3"/>
  <c r="G33" i="3"/>
  <c r="H33" i="3" s="1"/>
  <c r="G34" i="3"/>
  <c r="G35" i="3"/>
  <c r="H35" i="3" s="1"/>
  <c r="G36" i="3"/>
  <c r="G37" i="3"/>
  <c r="H37" i="3" s="1"/>
  <c r="G38" i="3"/>
  <c r="G39" i="3"/>
  <c r="H39" i="3" s="1"/>
  <c r="G40" i="3"/>
  <c r="G41" i="3"/>
  <c r="H41" i="3" s="1"/>
  <c r="G42" i="3"/>
  <c r="G43" i="3"/>
  <c r="H43" i="3" s="1"/>
  <c r="G44" i="3"/>
  <c r="G45" i="3"/>
  <c r="H45" i="3" s="1"/>
  <c r="G46" i="3"/>
  <c r="G47" i="3"/>
  <c r="H47" i="3" s="1"/>
  <c r="G48" i="3"/>
  <c r="G49" i="3"/>
  <c r="H49" i="3" s="1"/>
  <c r="G50" i="3"/>
  <c r="G51" i="3"/>
  <c r="H51" i="3" s="1"/>
  <c r="G52" i="3"/>
  <c r="G53" i="3"/>
  <c r="H53" i="3" s="1"/>
  <c r="G54" i="3"/>
  <c r="G55" i="3"/>
  <c r="H55" i="3" s="1"/>
  <c r="G56" i="3"/>
  <c r="G57" i="3"/>
  <c r="H57" i="3" s="1"/>
  <c r="G58" i="3"/>
  <c r="G59" i="3"/>
  <c r="H59" i="3" s="1"/>
  <c r="G60" i="3"/>
  <c r="G61" i="3"/>
  <c r="H61" i="3" s="1"/>
  <c r="G62" i="3"/>
  <c r="G63" i="3"/>
  <c r="H63" i="3" s="1"/>
  <c r="G64" i="3"/>
  <c r="G65" i="3"/>
  <c r="H65" i="3" s="1"/>
  <c r="G66" i="3"/>
  <c r="G67" i="3"/>
  <c r="H67" i="3" s="1"/>
  <c r="G68" i="3"/>
  <c r="G69" i="3"/>
  <c r="H69" i="3" s="1"/>
  <c r="G70" i="3"/>
  <c r="G71" i="3"/>
  <c r="H71" i="3" s="1"/>
  <c r="G72" i="3"/>
  <c r="G73" i="3"/>
  <c r="H73" i="3" s="1"/>
  <c r="G74" i="3"/>
  <c r="G75" i="3"/>
  <c r="H75" i="3" s="1"/>
  <c r="G76" i="3"/>
  <c r="G77" i="3"/>
  <c r="H77" i="3" s="1"/>
  <c r="G78" i="3"/>
  <c r="G79" i="3"/>
  <c r="H79" i="3" s="1"/>
  <c r="G80" i="3"/>
  <c r="G81" i="3"/>
  <c r="H81" i="3" s="1"/>
  <c r="G82" i="3"/>
  <c r="G83" i="3"/>
  <c r="H83" i="3" s="1"/>
  <c r="G84" i="3"/>
  <c r="G85" i="3"/>
  <c r="H85" i="3" s="1"/>
  <c r="G86" i="3"/>
  <c r="G87" i="3"/>
  <c r="H87" i="3" s="1"/>
  <c r="G88" i="3"/>
  <c r="G89" i="3"/>
  <c r="H89" i="3" s="1"/>
  <c r="G90" i="3"/>
  <c r="G91" i="3"/>
  <c r="H91" i="3" s="1"/>
  <c r="G92" i="3"/>
  <c r="G93" i="3"/>
  <c r="H93" i="3" s="1"/>
  <c r="G94" i="3"/>
  <c r="G95" i="3"/>
  <c r="H95" i="3" s="1"/>
  <c r="G96" i="3"/>
  <c r="G97" i="3"/>
  <c r="H97" i="3" s="1"/>
  <c r="G98" i="3"/>
  <c r="G99" i="3"/>
  <c r="H99" i="3" s="1"/>
  <c r="G100" i="3"/>
  <c r="G101" i="3"/>
  <c r="H101" i="3" s="1"/>
  <c r="G102" i="3"/>
  <c r="G103" i="3"/>
  <c r="H103" i="3" s="1"/>
  <c r="G104" i="3"/>
  <c r="G105" i="3"/>
  <c r="H105" i="3" s="1"/>
  <c r="G106" i="3"/>
  <c r="G107" i="3"/>
  <c r="H107" i="3" s="1"/>
  <c r="G108" i="3"/>
  <c r="G109" i="3"/>
  <c r="H109" i="3" s="1"/>
  <c r="G110" i="3"/>
  <c r="H6" i="3"/>
  <c r="H8" i="3"/>
  <c r="H10" i="3"/>
  <c r="H12" i="3"/>
  <c r="H14" i="3"/>
  <c r="H16" i="3"/>
  <c r="H18" i="3"/>
  <c r="H20" i="3"/>
  <c r="H22" i="3"/>
  <c r="H24" i="3"/>
  <c r="H26" i="3"/>
  <c r="H28" i="3"/>
  <c r="H30" i="3"/>
  <c r="H32" i="3"/>
  <c r="H34" i="3"/>
  <c r="H36" i="3"/>
  <c r="H38" i="3"/>
  <c r="H40" i="3"/>
  <c r="H42" i="3"/>
  <c r="H44" i="3"/>
  <c r="H46" i="3"/>
  <c r="H48" i="3"/>
  <c r="H50" i="3"/>
  <c r="H52" i="3"/>
  <c r="H54" i="3"/>
  <c r="H56" i="3"/>
  <c r="H58" i="3"/>
  <c r="H60" i="3"/>
  <c r="H62" i="3"/>
  <c r="H64" i="3"/>
  <c r="H66" i="3"/>
  <c r="H68" i="3"/>
  <c r="H70" i="3"/>
  <c r="H72" i="3"/>
  <c r="H74" i="3"/>
  <c r="H76" i="3"/>
  <c r="H78" i="3"/>
  <c r="H80" i="3"/>
  <c r="H82" i="3"/>
  <c r="H84" i="3"/>
  <c r="H86" i="3"/>
  <c r="H88" i="3"/>
  <c r="H90" i="3"/>
  <c r="H92" i="3"/>
  <c r="H94" i="3"/>
  <c r="H96" i="3"/>
  <c r="H98" i="3"/>
  <c r="H100" i="3"/>
  <c r="H102" i="3"/>
  <c r="H104" i="3"/>
  <c r="H106" i="3"/>
  <c r="H108" i="3"/>
  <c r="H110" i="3"/>
  <c r="F5" i="3"/>
  <c r="E111" i="3"/>
  <c r="G6" i="5"/>
  <c r="G7" i="5"/>
  <c r="H7" i="5" s="1"/>
  <c r="G8" i="5"/>
  <c r="G9" i="5"/>
  <c r="G10" i="5"/>
  <c r="G11" i="5"/>
  <c r="G12" i="5"/>
  <c r="G13" i="5"/>
  <c r="G14" i="5"/>
  <c r="G15" i="5"/>
  <c r="G16" i="5"/>
  <c r="G17" i="5"/>
  <c r="G18" i="5"/>
  <c r="G19" i="5"/>
  <c r="G20" i="5"/>
  <c r="G21" i="5"/>
  <c r="G22" i="5"/>
  <c r="G23" i="5"/>
  <c r="H23" i="5" s="1"/>
  <c r="G24" i="5"/>
  <c r="G25" i="5"/>
  <c r="G26" i="5"/>
  <c r="G27" i="5"/>
  <c r="G28" i="5"/>
  <c r="G29" i="5"/>
  <c r="G30" i="5"/>
  <c r="G31" i="5"/>
  <c r="G32" i="5"/>
  <c r="G33" i="5"/>
  <c r="G34" i="5"/>
  <c r="G35" i="5"/>
  <c r="G36" i="5"/>
  <c r="G37" i="5"/>
  <c r="G38" i="5"/>
  <c r="G39" i="5"/>
  <c r="G40" i="5"/>
  <c r="G41" i="5"/>
  <c r="G42" i="5"/>
  <c r="G43" i="5"/>
  <c r="G44" i="5"/>
  <c r="G45" i="5"/>
  <c r="G46" i="5"/>
  <c r="G47" i="5"/>
  <c r="G48" i="5"/>
  <c r="G49" i="5"/>
  <c r="G50" i="5"/>
  <c r="G51" i="5"/>
  <c r="G52" i="5"/>
  <c r="G53" i="5"/>
  <c r="G54" i="5"/>
  <c r="G55" i="5"/>
  <c r="G56" i="5"/>
  <c r="G57" i="5"/>
  <c r="G58" i="5"/>
  <c r="G59" i="5"/>
  <c r="G60" i="5"/>
  <c r="G61" i="5"/>
  <c r="G62" i="5"/>
  <c r="G63" i="5"/>
  <c r="G64" i="5"/>
  <c r="G65" i="5"/>
  <c r="G66" i="5"/>
  <c r="G67" i="5"/>
  <c r="G68" i="5"/>
  <c r="G69" i="5"/>
  <c r="G70" i="5"/>
  <c r="G71" i="5"/>
  <c r="G72" i="5"/>
  <c r="G73" i="5"/>
  <c r="G74" i="5"/>
  <c r="G75" i="5"/>
  <c r="G76" i="5"/>
  <c r="G77" i="5"/>
  <c r="G78" i="5"/>
  <c r="G79" i="5"/>
  <c r="G80" i="5"/>
  <c r="G81" i="5"/>
  <c r="G82" i="5"/>
  <c r="G83" i="5"/>
  <c r="G84" i="5"/>
  <c r="G85" i="5"/>
  <c r="G86" i="5"/>
  <c r="G87" i="5"/>
  <c r="G88" i="5"/>
  <c r="G89" i="5"/>
  <c r="G90" i="5"/>
  <c r="G91" i="5"/>
  <c r="G92" i="5"/>
  <c r="G93" i="5"/>
  <c r="G94" i="5"/>
  <c r="G95" i="5"/>
  <c r="G96" i="5"/>
  <c r="G97" i="5"/>
  <c r="G98" i="5"/>
  <c r="G99" i="5"/>
  <c r="G100" i="5"/>
  <c r="G101" i="5"/>
  <c r="G102" i="5"/>
  <c r="G103" i="5"/>
  <c r="G104" i="5"/>
  <c r="G105" i="5"/>
  <c r="G106" i="5"/>
  <c r="G107" i="5"/>
  <c r="G108" i="5"/>
  <c r="G109" i="5"/>
  <c r="G110" i="5"/>
  <c r="G5" i="5"/>
  <c r="H102" i="5"/>
  <c r="H106" i="5"/>
  <c r="H110" i="5"/>
  <c r="E111" i="5"/>
  <c r="F110" i="5"/>
  <c r="F109" i="5"/>
  <c r="H109" i="5" s="1"/>
  <c r="H108" i="5"/>
  <c r="F108" i="5"/>
  <c r="F107" i="5"/>
  <c r="F106" i="5"/>
  <c r="F105" i="5"/>
  <c r="H104" i="5"/>
  <c r="F104" i="5"/>
  <c r="F103" i="5"/>
  <c r="H103" i="5" s="1"/>
  <c r="F102" i="5"/>
  <c r="F101" i="5"/>
  <c r="H101" i="5" s="1"/>
  <c r="H100" i="5"/>
  <c r="F100" i="5"/>
  <c r="F99" i="5"/>
  <c r="F98" i="5"/>
  <c r="H98" i="5" s="1"/>
  <c r="F97" i="5"/>
  <c r="F96" i="5"/>
  <c r="H96" i="5" s="1"/>
  <c r="F95" i="5"/>
  <c r="F94" i="5"/>
  <c r="H94" i="5" s="1"/>
  <c r="F93" i="5"/>
  <c r="F92" i="5"/>
  <c r="H92" i="5" s="1"/>
  <c r="F91" i="5"/>
  <c r="H90" i="5"/>
  <c r="F90" i="5"/>
  <c r="F89" i="5"/>
  <c r="H89" i="5" s="1"/>
  <c r="F88" i="5"/>
  <c r="H88" i="5" s="1"/>
  <c r="F87" i="5"/>
  <c r="H87" i="5" s="1"/>
  <c r="F86" i="5"/>
  <c r="H86" i="5" s="1"/>
  <c r="F85" i="5"/>
  <c r="H85" i="5" s="1"/>
  <c r="F84" i="5"/>
  <c r="H84" i="5" s="1"/>
  <c r="F83" i="5"/>
  <c r="H83" i="5" s="1"/>
  <c r="H82" i="5"/>
  <c r="F82" i="5"/>
  <c r="F81" i="5"/>
  <c r="F80" i="5"/>
  <c r="H80" i="5" s="1"/>
  <c r="F79" i="5"/>
  <c r="F78" i="5"/>
  <c r="H78" i="5" s="1"/>
  <c r="F77" i="5"/>
  <c r="F76" i="5"/>
  <c r="H76" i="5" s="1"/>
  <c r="F75" i="5"/>
  <c r="H74" i="5"/>
  <c r="F74" i="5"/>
  <c r="F73" i="5"/>
  <c r="H73" i="5" s="1"/>
  <c r="F72" i="5"/>
  <c r="H72" i="5" s="1"/>
  <c r="F71" i="5"/>
  <c r="H71" i="5" s="1"/>
  <c r="F70" i="5"/>
  <c r="H70" i="5" s="1"/>
  <c r="F69" i="5"/>
  <c r="H69" i="5" s="1"/>
  <c r="F68" i="5"/>
  <c r="H68" i="5" s="1"/>
  <c r="F67" i="5"/>
  <c r="H67" i="5" s="1"/>
  <c r="H66" i="5"/>
  <c r="F66" i="5"/>
  <c r="F65" i="5"/>
  <c r="F64" i="5"/>
  <c r="H64" i="5" s="1"/>
  <c r="F63" i="5"/>
  <c r="F62" i="5"/>
  <c r="H62" i="5" s="1"/>
  <c r="F61" i="5"/>
  <c r="F60" i="5"/>
  <c r="H60" i="5" s="1"/>
  <c r="F59" i="5"/>
  <c r="H58" i="5"/>
  <c r="F58" i="5"/>
  <c r="F57" i="5"/>
  <c r="H57" i="5" s="1"/>
  <c r="F56" i="5"/>
  <c r="H56" i="5" s="1"/>
  <c r="F55" i="5"/>
  <c r="H55" i="5" s="1"/>
  <c r="F54" i="5"/>
  <c r="H54" i="5" s="1"/>
  <c r="F53" i="5"/>
  <c r="H53" i="5" s="1"/>
  <c r="F52" i="5"/>
  <c r="H52" i="5" s="1"/>
  <c r="F51" i="5"/>
  <c r="H51" i="5" s="1"/>
  <c r="H50" i="5"/>
  <c r="F50" i="5"/>
  <c r="F49" i="5"/>
  <c r="F48" i="5"/>
  <c r="H48" i="5" s="1"/>
  <c r="F47" i="5"/>
  <c r="F46" i="5"/>
  <c r="H46" i="5" s="1"/>
  <c r="F45" i="5"/>
  <c r="F44" i="5"/>
  <c r="H44" i="5" s="1"/>
  <c r="F43" i="5"/>
  <c r="H42" i="5"/>
  <c r="F42" i="5"/>
  <c r="F41" i="5"/>
  <c r="H41" i="5" s="1"/>
  <c r="F40" i="5"/>
  <c r="H40" i="5" s="1"/>
  <c r="F39" i="5"/>
  <c r="H39" i="5" s="1"/>
  <c r="F38" i="5"/>
  <c r="H38" i="5" s="1"/>
  <c r="F37" i="5"/>
  <c r="H37" i="5" s="1"/>
  <c r="F36" i="5"/>
  <c r="H36" i="5" s="1"/>
  <c r="F35" i="5"/>
  <c r="H35" i="5" s="1"/>
  <c r="H34" i="5"/>
  <c r="F34" i="5"/>
  <c r="F33" i="5"/>
  <c r="F32" i="5"/>
  <c r="H32" i="5" s="1"/>
  <c r="F31" i="5"/>
  <c r="F30" i="5"/>
  <c r="H30" i="5" s="1"/>
  <c r="F29" i="5"/>
  <c r="F28" i="5"/>
  <c r="H28" i="5" s="1"/>
  <c r="F27" i="5"/>
  <c r="F26" i="5"/>
  <c r="H26" i="5" s="1"/>
  <c r="F25" i="5"/>
  <c r="F24" i="5"/>
  <c r="H24" i="5" s="1"/>
  <c r="F23" i="5"/>
  <c r="F22" i="5"/>
  <c r="H22" i="5" s="1"/>
  <c r="F21" i="5"/>
  <c r="H21" i="5" s="1"/>
  <c r="F20" i="5"/>
  <c r="H20" i="5" s="1"/>
  <c r="F19" i="5"/>
  <c r="H19" i="5" s="1"/>
  <c r="F18" i="5"/>
  <c r="H18" i="5" s="1"/>
  <c r="F17" i="5"/>
  <c r="H17" i="5" s="1"/>
  <c r="F16" i="5"/>
  <c r="H16" i="5" s="1"/>
  <c r="H15" i="5"/>
  <c r="F15" i="5"/>
  <c r="F14" i="5"/>
  <c r="H14" i="5" s="1"/>
  <c r="F13" i="5"/>
  <c r="F12" i="5"/>
  <c r="H12" i="5" s="1"/>
  <c r="F11" i="5"/>
  <c r="F10" i="5"/>
  <c r="H10" i="5" s="1"/>
  <c r="F9" i="5"/>
  <c r="F8" i="5"/>
  <c r="H8" i="5" s="1"/>
  <c r="F7" i="5"/>
  <c r="F6" i="5"/>
  <c r="H6" i="5" s="1"/>
  <c r="F5" i="5"/>
  <c r="H101" i="4" l="1"/>
  <c r="I101" i="4" s="1"/>
  <c r="H92" i="4"/>
  <c r="G108" i="4"/>
  <c r="F111" i="3"/>
  <c r="G111" i="3"/>
  <c r="H5" i="3"/>
  <c r="H111" i="3" s="1"/>
  <c r="H9" i="5"/>
  <c r="H11" i="5"/>
  <c r="H13" i="5"/>
  <c r="H25" i="5"/>
  <c r="H27" i="5"/>
  <c r="H29" i="5"/>
  <c r="H31" i="5"/>
  <c r="H33" i="5"/>
  <c r="H43" i="5"/>
  <c r="H45" i="5"/>
  <c r="H47" i="5"/>
  <c r="H49" i="5"/>
  <c r="H59" i="5"/>
  <c r="H61" i="5"/>
  <c r="H63" i="5"/>
  <c r="H65" i="5"/>
  <c r="H75" i="5"/>
  <c r="H77" i="5"/>
  <c r="H79" i="5"/>
  <c r="H81" i="5"/>
  <c r="H91" i="5"/>
  <c r="H93" i="5"/>
  <c r="H95" i="5"/>
  <c r="H97" i="5"/>
  <c r="H99" i="5"/>
  <c r="H105" i="5"/>
  <c r="H107" i="5"/>
  <c r="G111" i="5"/>
  <c r="F111" i="5"/>
  <c r="H5" i="5"/>
  <c r="H111" i="5" s="1"/>
  <c r="H108" i="4" l="1"/>
  <c r="I92" i="4"/>
  <c r="I108" i="4" s="1"/>
  <c r="V112" i="1" l="1"/>
  <c r="N111" i="1"/>
  <c r="O111" i="1" s="1"/>
  <c r="L111" i="1"/>
  <c r="M111" i="1" s="1"/>
  <c r="J111" i="1"/>
  <c r="K111" i="1" s="1"/>
  <c r="L110" i="1"/>
  <c r="M110" i="1" s="1"/>
  <c r="J110" i="1"/>
  <c r="K110" i="1" s="1"/>
  <c r="N109" i="1"/>
  <c r="O109" i="1" s="1"/>
  <c r="L109" i="1"/>
  <c r="M109" i="1" s="1"/>
  <c r="J109" i="1"/>
  <c r="K109" i="1" s="1"/>
  <c r="N108" i="1"/>
  <c r="O108" i="1" s="1"/>
  <c r="L108" i="1"/>
  <c r="M108" i="1" s="1"/>
  <c r="J108" i="1"/>
  <c r="K108" i="1" s="1"/>
  <c r="N107" i="1"/>
  <c r="O107" i="1" s="1"/>
  <c r="L107" i="1"/>
  <c r="M107" i="1" s="1"/>
  <c r="J107" i="1"/>
  <c r="K107" i="1" s="1"/>
  <c r="U106" i="1"/>
  <c r="N106" i="1"/>
  <c r="N105" i="1"/>
  <c r="L105" i="1"/>
  <c r="J105" i="1"/>
  <c r="U104" i="1"/>
  <c r="O103" i="1"/>
  <c r="O102" i="1" s="1"/>
  <c r="N103" i="1"/>
  <c r="M103" i="1"/>
  <c r="M102" i="1" s="1"/>
  <c r="L103" i="1"/>
  <c r="K103" i="1"/>
  <c r="J103" i="1"/>
  <c r="U102" i="1"/>
  <c r="N102" i="1"/>
  <c r="L102" i="1"/>
  <c r="J102" i="1"/>
  <c r="L101" i="1"/>
  <c r="M101" i="1" s="1"/>
  <c r="J101" i="1"/>
  <c r="K101" i="1" s="1"/>
  <c r="L100" i="1"/>
  <c r="J100" i="1"/>
  <c r="U99" i="1"/>
  <c r="O99" i="1"/>
  <c r="N99" i="1"/>
  <c r="N98" i="1"/>
  <c r="O98" i="1" s="1"/>
  <c r="L98" i="1"/>
  <c r="M98" i="1" s="1"/>
  <c r="J98" i="1"/>
  <c r="K98" i="1" s="1"/>
  <c r="N96" i="1"/>
  <c r="O96" i="1" s="1"/>
  <c r="L96" i="1"/>
  <c r="M96" i="1" s="1"/>
  <c r="J96" i="1"/>
  <c r="K96" i="1" s="1"/>
  <c r="N95" i="1"/>
  <c r="O95" i="1" s="1"/>
  <c r="L95" i="1"/>
  <c r="M95" i="1" s="1"/>
  <c r="J95" i="1"/>
  <c r="K95" i="1" s="1"/>
  <c r="L94" i="1"/>
  <c r="M94" i="1" s="1"/>
  <c r="J94" i="1"/>
  <c r="K94" i="1" s="1"/>
  <c r="N93" i="1"/>
  <c r="O93" i="1" s="1"/>
  <c r="L93" i="1"/>
  <c r="M93" i="1" s="1"/>
  <c r="J93" i="1"/>
  <c r="K93" i="1" s="1"/>
  <c r="L92" i="1"/>
  <c r="M92" i="1" s="1"/>
  <c r="J92" i="1"/>
  <c r="K92" i="1" s="1"/>
  <c r="N91" i="1"/>
  <c r="O91" i="1" s="1"/>
  <c r="L91" i="1"/>
  <c r="M91" i="1" s="1"/>
  <c r="J91" i="1"/>
  <c r="K91" i="1" s="1"/>
  <c r="L90" i="1"/>
  <c r="M90" i="1" s="1"/>
  <c r="J90" i="1"/>
  <c r="K90" i="1" s="1"/>
  <c r="N89" i="1"/>
  <c r="O89" i="1" s="1"/>
  <c r="L89" i="1"/>
  <c r="M89" i="1" s="1"/>
  <c r="J89" i="1"/>
  <c r="K89" i="1" s="1"/>
  <c r="N88" i="1"/>
  <c r="O88" i="1" s="1"/>
  <c r="L88" i="1"/>
  <c r="M88" i="1" s="1"/>
  <c r="J88" i="1"/>
  <c r="K88" i="1" s="1"/>
  <c r="N87" i="1"/>
  <c r="L87" i="1"/>
  <c r="M87" i="1" s="1"/>
  <c r="J87" i="1"/>
  <c r="K87" i="1" s="1"/>
  <c r="U86" i="1"/>
  <c r="N85" i="1"/>
  <c r="O85" i="1" s="1"/>
  <c r="L85" i="1"/>
  <c r="M85" i="1" s="1"/>
  <c r="J85" i="1"/>
  <c r="K85" i="1" s="1"/>
  <c r="N84" i="1"/>
  <c r="O84" i="1" s="1"/>
  <c r="L84" i="1"/>
  <c r="M84" i="1" s="1"/>
  <c r="J84" i="1"/>
  <c r="K84" i="1" s="1"/>
  <c r="N83" i="1"/>
  <c r="L83" i="1"/>
  <c r="J83" i="1"/>
  <c r="U82" i="1"/>
  <c r="L81" i="1"/>
  <c r="M81" i="1" s="1"/>
  <c r="M80" i="1" s="1"/>
  <c r="J81" i="1"/>
  <c r="K81" i="1" s="1"/>
  <c r="U80" i="1"/>
  <c r="O80" i="1"/>
  <c r="N80" i="1"/>
  <c r="L79" i="1"/>
  <c r="J79" i="1"/>
  <c r="U78" i="1"/>
  <c r="O78" i="1"/>
  <c r="N78" i="1"/>
  <c r="L77" i="1"/>
  <c r="M77" i="1" s="1"/>
  <c r="J77" i="1"/>
  <c r="K77" i="1" s="1"/>
  <c r="N76" i="1"/>
  <c r="O76" i="1" s="1"/>
  <c r="O73" i="1" s="1"/>
  <c r="L76" i="1"/>
  <c r="M76" i="1" s="1"/>
  <c r="J76" i="1"/>
  <c r="K76" i="1" s="1"/>
  <c r="L75" i="1"/>
  <c r="M75" i="1" s="1"/>
  <c r="J75" i="1"/>
  <c r="K75" i="1" s="1"/>
  <c r="J74" i="1"/>
  <c r="U73" i="1"/>
  <c r="N73" i="1"/>
  <c r="O72" i="1"/>
  <c r="O71" i="1" s="1"/>
  <c r="N72" i="1"/>
  <c r="K72" i="1"/>
  <c r="J72" i="1"/>
  <c r="U71" i="1"/>
  <c r="N71" i="1"/>
  <c r="M71" i="1"/>
  <c r="L71" i="1"/>
  <c r="J71" i="1"/>
  <c r="N70" i="1"/>
  <c r="O70" i="1" s="1"/>
  <c r="L70" i="1"/>
  <c r="M70" i="1" s="1"/>
  <c r="J70" i="1"/>
  <c r="K70" i="1" s="1"/>
  <c r="L69" i="1"/>
  <c r="M69" i="1" s="1"/>
  <c r="J69" i="1"/>
  <c r="K69" i="1" s="1"/>
  <c r="N68" i="1"/>
  <c r="O68" i="1" s="1"/>
  <c r="L68" i="1"/>
  <c r="M68" i="1" s="1"/>
  <c r="J68" i="1"/>
  <c r="K68" i="1" s="1"/>
  <c r="L67" i="1"/>
  <c r="M67" i="1" s="1"/>
  <c r="J67" i="1"/>
  <c r="K67" i="1" s="1"/>
  <c r="U66" i="1"/>
  <c r="T66" i="1"/>
  <c r="Q66" i="1"/>
  <c r="L65" i="1"/>
  <c r="J65" i="1"/>
  <c r="U64" i="1"/>
  <c r="O64" i="1"/>
  <c r="N64" i="1"/>
  <c r="N63" i="1"/>
  <c r="O63" i="1" s="1"/>
  <c r="O61" i="1" s="1"/>
  <c r="L63" i="1"/>
  <c r="M63" i="1" s="1"/>
  <c r="J63" i="1"/>
  <c r="K63" i="1" s="1"/>
  <c r="L62" i="1"/>
  <c r="M62" i="1" s="1"/>
  <c r="J62" i="1"/>
  <c r="K62" i="1" s="1"/>
  <c r="U61" i="1"/>
  <c r="N61" i="1"/>
  <c r="L60" i="1"/>
  <c r="M60" i="1" s="1"/>
  <c r="J60" i="1"/>
  <c r="K60" i="1" s="1"/>
  <c r="I60" i="1"/>
  <c r="N59" i="1"/>
  <c r="O59" i="1" s="1"/>
  <c r="L59" i="1"/>
  <c r="M59" i="1" s="1"/>
  <c r="J59" i="1"/>
  <c r="K59" i="1" s="1"/>
  <c r="I59" i="1"/>
  <c r="L58" i="1"/>
  <c r="M58" i="1" s="1"/>
  <c r="J58" i="1"/>
  <c r="K58" i="1" s="1"/>
  <c r="I58" i="1"/>
  <c r="L57" i="1"/>
  <c r="M57" i="1" s="1"/>
  <c r="J57" i="1"/>
  <c r="K57" i="1" s="1"/>
  <c r="I57" i="1"/>
  <c r="N56" i="1"/>
  <c r="O56" i="1" s="1"/>
  <c r="L56" i="1"/>
  <c r="M56" i="1" s="1"/>
  <c r="J56" i="1"/>
  <c r="K56" i="1" s="1"/>
  <c r="I56" i="1"/>
  <c r="O55" i="1"/>
  <c r="N55" i="1"/>
  <c r="M55" i="1"/>
  <c r="L55" i="1"/>
  <c r="K55" i="1"/>
  <c r="J55" i="1"/>
  <c r="I55" i="1"/>
  <c r="N54" i="1"/>
  <c r="O54" i="1" s="1"/>
  <c r="L54" i="1"/>
  <c r="M54" i="1" s="1"/>
  <c r="J54" i="1"/>
  <c r="K54" i="1" s="1"/>
  <c r="I54" i="1"/>
  <c r="N53" i="1"/>
  <c r="O53" i="1" s="1"/>
  <c r="L53" i="1"/>
  <c r="M53" i="1" s="1"/>
  <c r="J53" i="1"/>
  <c r="K53" i="1" s="1"/>
  <c r="I53" i="1"/>
  <c r="N52" i="1"/>
  <c r="O52" i="1" s="1"/>
  <c r="L52" i="1"/>
  <c r="M52" i="1" s="1"/>
  <c r="J52" i="1"/>
  <c r="K52" i="1" s="1"/>
  <c r="I52" i="1"/>
  <c r="M51" i="1"/>
  <c r="L51" i="1"/>
  <c r="K51" i="1"/>
  <c r="J51" i="1"/>
  <c r="I51" i="1"/>
  <c r="N50" i="1"/>
  <c r="O50" i="1" s="1"/>
  <c r="L50" i="1"/>
  <c r="M50" i="1" s="1"/>
  <c r="J50" i="1"/>
  <c r="K50" i="1" s="1"/>
  <c r="I50" i="1"/>
  <c r="N49" i="1"/>
  <c r="O49" i="1" s="1"/>
  <c r="L49" i="1"/>
  <c r="M49" i="1" s="1"/>
  <c r="J49" i="1"/>
  <c r="K49" i="1" s="1"/>
  <c r="I49" i="1"/>
  <c r="N48" i="1"/>
  <c r="O48" i="1" s="1"/>
  <c r="L48" i="1"/>
  <c r="M48" i="1" s="1"/>
  <c r="J48" i="1"/>
  <c r="K48" i="1" s="1"/>
  <c r="I48" i="1"/>
  <c r="M47" i="1"/>
  <c r="L47" i="1"/>
  <c r="K47" i="1"/>
  <c r="J47" i="1"/>
  <c r="I47" i="1"/>
  <c r="L46" i="1"/>
  <c r="M46" i="1" s="1"/>
  <c r="J46" i="1"/>
  <c r="K46" i="1" s="1"/>
  <c r="I46" i="1"/>
  <c r="O45" i="1"/>
  <c r="N45" i="1"/>
  <c r="M45" i="1"/>
  <c r="L45" i="1"/>
  <c r="K45" i="1"/>
  <c r="J45" i="1"/>
  <c r="I45" i="1"/>
  <c r="N44" i="1"/>
  <c r="O44" i="1" s="1"/>
  <c r="L44" i="1"/>
  <c r="M44" i="1" s="1"/>
  <c r="J44" i="1"/>
  <c r="K44" i="1" s="1"/>
  <c r="I44" i="1"/>
  <c r="N43" i="1"/>
  <c r="O43" i="1" s="1"/>
  <c r="L43" i="1"/>
  <c r="M43" i="1" s="1"/>
  <c r="J43" i="1"/>
  <c r="K43" i="1" s="1"/>
  <c r="I43" i="1"/>
  <c r="L42" i="1"/>
  <c r="M42" i="1" s="1"/>
  <c r="J42" i="1"/>
  <c r="K42" i="1" s="1"/>
  <c r="I42" i="1"/>
  <c r="N41" i="1"/>
  <c r="O41" i="1" s="1"/>
  <c r="L41" i="1"/>
  <c r="M41" i="1" s="1"/>
  <c r="J41" i="1"/>
  <c r="K41" i="1" s="1"/>
  <c r="I41" i="1"/>
  <c r="N40" i="1"/>
  <c r="O40" i="1" s="1"/>
  <c r="L40" i="1"/>
  <c r="M40" i="1" s="1"/>
  <c r="J40" i="1"/>
  <c r="K40" i="1" s="1"/>
  <c r="I40" i="1"/>
  <c r="M39" i="1"/>
  <c r="K39" i="1"/>
  <c r="I39" i="1"/>
  <c r="L38" i="1"/>
  <c r="M38" i="1" s="1"/>
  <c r="J38" i="1"/>
  <c r="K38" i="1" s="1"/>
  <c r="I38" i="1"/>
  <c r="N37" i="1"/>
  <c r="O37" i="1" s="1"/>
  <c r="L37" i="1"/>
  <c r="M37" i="1" s="1"/>
  <c r="J37" i="1"/>
  <c r="K37" i="1" s="1"/>
  <c r="I37" i="1"/>
  <c r="N36" i="1"/>
  <c r="O36" i="1" s="1"/>
  <c r="L36" i="1"/>
  <c r="M36" i="1" s="1"/>
  <c r="J36" i="1"/>
  <c r="K36" i="1" s="1"/>
  <c r="I36" i="1"/>
  <c r="L35" i="1"/>
  <c r="M35" i="1" s="1"/>
  <c r="J35" i="1"/>
  <c r="K35" i="1" s="1"/>
  <c r="I35" i="1"/>
  <c r="L34" i="1"/>
  <c r="M34" i="1" s="1"/>
  <c r="J34" i="1"/>
  <c r="K34" i="1" s="1"/>
  <c r="I34" i="1"/>
  <c r="L33" i="1"/>
  <c r="M33" i="1" s="1"/>
  <c r="J33" i="1"/>
  <c r="K33" i="1" s="1"/>
  <c r="I33" i="1"/>
  <c r="J32" i="1"/>
  <c r="K32" i="1" s="1"/>
  <c r="I32" i="1"/>
  <c r="J31" i="1"/>
  <c r="K31" i="1" s="1"/>
  <c r="I31" i="1"/>
  <c r="N30" i="1"/>
  <c r="O30" i="1" s="1"/>
  <c r="L30" i="1"/>
  <c r="M30" i="1" s="1"/>
  <c r="J30" i="1"/>
  <c r="K30" i="1" s="1"/>
  <c r="I30" i="1"/>
  <c r="N29" i="1"/>
  <c r="O29" i="1" s="1"/>
  <c r="L29" i="1"/>
  <c r="M29" i="1" s="1"/>
  <c r="J29" i="1"/>
  <c r="K29" i="1" s="1"/>
  <c r="I29" i="1"/>
  <c r="N28" i="1"/>
  <c r="O28" i="1" s="1"/>
  <c r="L28" i="1"/>
  <c r="M28" i="1" s="1"/>
  <c r="J28" i="1"/>
  <c r="K28" i="1" s="1"/>
  <c r="I28" i="1"/>
  <c r="N27" i="1"/>
  <c r="O27" i="1" s="1"/>
  <c r="L27" i="1"/>
  <c r="M27" i="1" s="1"/>
  <c r="J27" i="1"/>
  <c r="K27" i="1" s="1"/>
  <c r="I27" i="1"/>
  <c r="L26" i="1"/>
  <c r="M26" i="1" s="1"/>
  <c r="J26" i="1"/>
  <c r="K26" i="1" s="1"/>
  <c r="I26" i="1"/>
  <c r="L25" i="1"/>
  <c r="M25" i="1" s="1"/>
  <c r="J25" i="1"/>
  <c r="K25" i="1" s="1"/>
  <c r="I25" i="1"/>
  <c r="L24" i="1"/>
  <c r="M24" i="1" s="1"/>
  <c r="J24" i="1"/>
  <c r="K24" i="1" s="1"/>
  <c r="I24" i="1"/>
  <c r="N23" i="1"/>
  <c r="O23" i="1" s="1"/>
  <c r="L23" i="1"/>
  <c r="M23" i="1" s="1"/>
  <c r="J23" i="1"/>
  <c r="K23" i="1" s="1"/>
  <c r="I23" i="1"/>
  <c r="L22" i="1"/>
  <c r="M22" i="1" s="1"/>
  <c r="J22" i="1"/>
  <c r="K22" i="1" s="1"/>
  <c r="I22" i="1"/>
  <c r="L21" i="1"/>
  <c r="M21" i="1" s="1"/>
  <c r="J21" i="1"/>
  <c r="K21" i="1" s="1"/>
  <c r="I21" i="1"/>
  <c r="N20" i="1"/>
  <c r="O20" i="1" s="1"/>
  <c r="L20" i="1"/>
  <c r="M20" i="1" s="1"/>
  <c r="J20" i="1"/>
  <c r="K20" i="1" s="1"/>
  <c r="I20" i="1"/>
  <c r="L19" i="1"/>
  <c r="M19" i="1" s="1"/>
  <c r="J19" i="1"/>
  <c r="K19" i="1" s="1"/>
  <c r="I19" i="1"/>
  <c r="L18" i="1"/>
  <c r="M18" i="1" s="1"/>
  <c r="J18" i="1"/>
  <c r="K18" i="1" s="1"/>
  <c r="I18" i="1"/>
  <c r="L17" i="1"/>
  <c r="M17" i="1" s="1"/>
  <c r="J17" i="1"/>
  <c r="K17" i="1" s="1"/>
  <c r="I17" i="1"/>
  <c r="U16" i="1"/>
  <c r="T16" i="1"/>
  <c r="Q16" i="1"/>
  <c r="O15" i="1"/>
  <c r="N15" i="1"/>
  <c r="M15" i="1"/>
  <c r="L15" i="1"/>
  <c r="K15" i="1"/>
  <c r="J15" i="1"/>
  <c r="I15" i="1"/>
  <c r="N14" i="1"/>
  <c r="O14" i="1" s="1"/>
  <c r="L14" i="1"/>
  <c r="M14" i="1" s="1"/>
  <c r="J14" i="1"/>
  <c r="K14" i="1" s="1"/>
  <c r="I14" i="1"/>
  <c r="N13" i="1"/>
  <c r="O13" i="1" s="1"/>
  <c r="L13" i="1"/>
  <c r="M13" i="1" s="1"/>
  <c r="J13" i="1"/>
  <c r="K13" i="1" s="1"/>
  <c r="I13" i="1"/>
  <c r="N12" i="1"/>
  <c r="O12" i="1" s="1"/>
  <c r="L12" i="1"/>
  <c r="M12" i="1" s="1"/>
  <c r="J12" i="1"/>
  <c r="K12" i="1" s="1"/>
  <c r="I12" i="1"/>
  <c r="L11" i="1"/>
  <c r="M11" i="1" s="1"/>
  <c r="J11" i="1"/>
  <c r="K11" i="1" s="1"/>
  <c r="I11" i="1"/>
  <c r="U10" i="1"/>
  <c r="T10" i="1"/>
  <c r="L10" i="1"/>
  <c r="N9" i="1"/>
  <c r="O9" i="1" s="1"/>
  <c r="L9" i="1"/>
  <c r="M9" i="1" s="1"/>
  <c r="J9" i="1"/>
  <c r="K9" i="1" s="1"/>
  <c r="I9" i="1"/>
  <c r="N8" i="1"/>
  <c r="O8" i="1" s="1"/>
  <c r="L8" i="1"/>
  <c r="M8" i="1" s="1"/>
  <c r="J8" i="1"/>
  <c r="K8" i="1" s="1"/>
  <c r="I8" i="1"/>
  <c r="L7" i="1"/>
  <c r="M7" i="1" s="1"/>
  <c r="J7" i="1"/>
  <c r="K7" i="1" s="1"/>
  <c r="I7" i="1"/>
  <c r="L6" i="1"/>
  <c r="M6" i="1" s="1"/>
  <c r="J6" i="1"/>
  <c r="K6" i="1" s="1"/>
  <c r="R6" i="1" s="1"/>
  <c r="I6" i="1"/>
  <c r="U5" i="1"/>
  <c r="T5" i="1"/>
  <c r="J4" i="1"/>
  <c r="K4" i="1" s="1"/>
  <c r="I4" i="1"/>
  <c r="U3" i="1"/>
  <c r="O3" i="1"/>
  <c r="N3" i="1"/>
  <c r="M3" i="1"/>
  <c r="L3" i="1"/>
  <c r="S110" i="1" l="1"/>
  <c r="Q72" i="1"/>
  <c r="Q71" i="1" s="1"/>
  <c r="R36" i="1"/>
  <c r="R38" i="1"/>
  <c r="R69" i="1"/>
  <c r="Q62" i="1"/>
  <c r="M73" i="1"/>
  <c r="S90" i="1"/>
  <c r="R8" i="1"/>
  <c r="O5" i="1"/>
  <c r="R15" i="1"/>
  <c r="Q103" i="1"/>
  <c r="Q102" i="1" s="1"/>
  <c r="R37" i="1"/>
  <c r="R11" i="1"/>
  <c r="Q63" i="1"/>
  <c r="R70" i="1"/>
  <c r="S98" i="1"/>
  <c r="L5" i="1"/>
  <c r="O106" i="1"/>
  <c r="U112" i="1"/>
  <c r="T112" i="1"/>
  <c r="J61" i="1"/>
  <c r="M61" i="1"/>
  <c r="N66" i="1"/>
  <c r="O66" i="1"/>
  <c r="L73" i="1"/>
  <c r="L80" i="1"/>
  <c r="P85" i="1"/>
  <c r="J86" i="1"/>
  <c r="R93" i="1"/>
  <c r="J106" i="1"/>
  <c r="M106" i="1"/>
  <c r="R13" i="1"/>
  <c r="R89" i="1"/>
  <c r="S108" i="1"/>
  <c r="J3" i="1"/>
  <c r="J5" i="1"/>
  <c r="N5" i="1"/>
  <c r="J10" i="1"/>
  <c r="N10" i="1"/>
  <c r="R39" i="1"/>
  <c r="L61" i="1"/>
  <c r="L66" i="1"/>
  <c r="M66" i="1"/>
  <c r="M86" i="1"/>
  <c r="S94" i="1"/>
  <c r="L106" i="1"/>
  <c r="J80" i="1"/>
  <c r="S14" i="1"/>
  <c r="Q14" i="1"/>
  <c r="R14" i="1"/>
  <c r="P14" i="1"/>
  <c r="R17" i="1"/>
  <c r="S17" i="1"/>
  <c r="P17" i="1"/>
  <c r="K16" i="1"/>
  <c r="R19" i="1"/>
  <c r="S19" i="1"/>
  <c r="P19" i="1"/>
  <c r="R22" i="1"/>
  <c r="S22" i="1"/>
  <c r="P22" i="1"/>
  <c r="R25" i="1"/>
  <c r="S25" i="1"/>
  <c r="P25" i="1"/>
  <c r="R27" i="1"/>
  <c r="S27" i="1"/>
  <c r="P27" i="1"/>
  <c r="R28" i="1"/>
  <c r="S28" i="1"/>
  <c r="P28" i="1"/>
  <c r="R29" i="1"/>
  <c r="S29" i="1"/>
  <c r="P29" i="1"/>
  <c r="R30" i="1"/>
  <c r="S30" i="1"/>
  <c r="P30" i="1"/>
  <c r="R31" i="1"/>
  <c r="S31" i="1"/>
  <c r="P31" i="1"/>
  <c r="R32" i="1"/>
  <c r="S32" i="1"/>
  <c r="P32" i="1"/>
  <c r="R33" i="1"/>
  <c r="S33" i="1"/>
  <c r="P33" i="1"/>
  <c r="R35" i="1"/>
  <c r="S35" i="1"/>
  <c r="P35" i="1"/>
  <c r="S4" i="1"/>
  <c r="S3" i="1" s="1"/>
  <c r="Q4" i="1"/>
  <c r="Q3" i="1" s="1"/>
  <c r="K3" i="1"/>
  <c r="R4" i="1"/>
  <c r="R3" i="1" s="1"/>
  <c r="P4" i="1"/>
  <c r="P3" i="1" s="1"/>
  <c r="M5" i="1"/>
  <c r="S7" i="1"/>
  <c r="Q7" i="1"/>
  <c r="R7" i="1"/>
  <c r="P7" i="1"/>
  <c r="S9" i="1"/>
  <c r="Q9" i="1"/>
  <c r="R9" i="1"/>
  <c r="P9" i="1"/>
  <c r="M10" i="1"/>
  <c r="S12" i="1"/>
  <c r="Q12" i="1"/>
  <c r="R12" i="1"/>
  <c r="P12" i="1"/>
  <c r="O10" i="1"/>
  <c r="M16" i="1"/>
  <c r="R18" i="1"/>
  <c r="S18" i="1"/>
  <c r="P18" i="1"/>
  <c r="R20" i="1"/>
  <c r="S20" i="1"/>
  <c r="P20" i="1"/>
  <c r="O16" i="1"/>
  <c r="R21" i="1"/>
  <c r="S21" i="1"/>
  <c r="P21" i="1"/>
  <c r="R23" i="1"/>
  <c r="S23" i="1"/>
  <c r="P23" i="1"/>
  <c r="R24" i="1"/>
  <c r="S24" i="1"/>
  <c r="P24" i="1"/>
  <c r="R26" i="1"/>
  <c r="S26" i="1"/>
  <c r="P26" i="1"/>
  <c r="R34" i="1"/>
  <c r="S34" i="1"/>
  <c r="P34" i="1"/>
  <c r="Q6" i="1"/>
  <c r="S6" i="1"/>
  <c r="Q8" i="1"/>
  <c r="S8" i="1"/>
  <c r="Q11" i="1"/>
  <c r="S11" i="1"/>
  <c r="Q13" i="1"/>
  <c r="S13" i="1"/>
  <c r="Q15" i="1"/>
  <c r="S15" i="1"/>
  <c r="S36" i="1"/>
  <c r="S37" i="1"/>
  <c r="P38" i="1"/>
  <c r="S40" i="1"/>
  <c r="P40" i="1"/>
  <c r="S41" i="1"/>
  <c r="P41" i="1"/>
  <c r="S42" i="1"/>
  <c r="P42" i="1"/>
  <c r="S43" i="1"/>
  <c r="P43" i="1"/>
  <c r="S44" i="1"/>
  <c r="P44" i="1"/>
  <c r="S45" i="1"/>
  <c r="P45" i="1"/>
  <c r="S46" i="1"/>
  <c r="P46" i="1"/>
  <c r="S47" i="1"/>
  <c r="P47" i="1"/>
  <c r="S48" i="1"/>
  <c r="P48" i="1"/>
  <c r="S49" i="1"/>
  <c r="P49" i="1"/>
  <c r="S50" i="1"/>
  <c r="P50" i="1"/>
  <c r="S51" i="1"/>
  <c r="P51" i="1"/>
  <c r="S52" i="1"/>
  <c r="P52" i="1"/>
  <c r="S53" i="1"/>
  <c r="P53" i="1"/>
  <c r="S54" i="1"/>
  <c r="P54" i="1"/>
  <c r="S55" i="1"/>
  <c r="P55" i="1"/>
  <c r="S56" i="1"/>
  <c r="P56" i="1"/>
  <c r="S57" i="1"/>
  <c r="P57" i="1"/>
  <c r="S58" i="1"/>
  <c r="P58" i="1"/>
  <c r="S59" i="1"/>
  <c r="P59" i="1"/>
  <c r="S60" i="1"/>
  <c r="P60" i="1"/>
  <c r="M65" i="1"/>
  <c r="M64" i="1" s="1"/>
  <c r="L64" i="1"/>
  <c r="S67" i="1"/>
  <c r="S68" i="1"/>
  <c r="P68" i="1"/>
  <c r="P69" i="1"/>
  <c r="K74" i="1"/>
  <c r="J73" i="1"/>
  <c r="R75" i="1"/>
  <c r="P75" i="1"/>
  <c r="S75" i="1"/>
  <c r="R76" i="1"/>
  <c r="P76" i="1"/>
  <c r="S76" i="1"/>
  <c r="R77" i="1"/>
  <c r="P77" i="1"/>
  <c r="S77" i="1"/>
  <c r="K79" i="1"/>
  <c r="J78" i="1"/>
  <c r="R81" i="1"/>
  <c r="R80" i="1" s="1"/>
  <c r="P81" i="1"/>
  <c r="P80" i="1" s="1"/>
  <c r="K80" i="1"/>
  <c r="S81" i="1"/>
  <c r="S80" i="1" s="1"/>
  <c r="M83" i="1"/>
  <c r="M82" i="1" s="1"/>
  <c r="L82" i="1"/>
  <c r="S84" i="1"/>
  <c r="Q84" i="1"/>
  <c r="R84" i="1"/>
  <c r="P88" i="1"/>
  <c r="S91" i="1"/>
  <c r="P91" i="1"/>
  <c r="R91" i="1"/>
  <c r="R96" i="1"/>
  <c r="P96" i="1"/>
  <c r="K100" i="1"/>
  <c r="J99" i="1"/>
  <c r="K105" i="1"/>
  <c r="J104" i="1"/>
  <c r="O105" i="1"/>
  <c r="O104" i="1" s="1"/>
  <c r="N104" i="1"/>
  <c r="R107" i="1"/>
  <c r="P107" i="1"/>
  <c r="K106" i="1"/>
  <c r="Q107" i="1"/>
  <c r="R109" i="1"/>
  <c r="P109" i="1"/>
  <c r="Q109" i="1"/>
  <c r="R111" i="1"/>
  <c r="P111" i="1"/>
  <c r="Q111" i="1"/>
  <c r="K5" i="1"/>
  <c r="P6" i="1"/>
  <c r="P8" i="1"/>
  <c r="K10" i="1"/>
  <c r="P11" i="1"/>
  <c r="P13" i="1"/>
  <c r="P15" i="1"/>
  <c r="J16" i="1"/>
  <c r="L16" i="1"/>
  <c r="N16" i="1"/>
  <c r="P36" i="1"/>
  <c r="P37" i="1"/>
  <c r="S38" i="1"/>
  <c r="P39" i="1"/>
  <c r="R40" i="1"/>
  <c r="R41" i="1"/>
  <c r="R42" i="1"/>
  <c r="R43" i="1"/>
  <c r="R44" i="1"/>
  <c r="R45" i="1"/>
  <c r="R46" i="1"/>
  <c r="R47" i="1"/>
  <c r="R48" i="1"/>
  <c r="R49" i="1"/>
  <c r="R50" i="1"/>
  <c r="R51" i="1"/>
  <c r="R52" i="1"/>
  <c r="R53" i="1"/>
  <c r="R54" i="1"/>
  <c r="R55" i="1"/>
  <c r="R56" i="1"/>
  <c r="R57" i="1"/>
  <c r="R58" i="1"/>
  <c r="R59" i="1"/>
  <c r="R60" i="1"/>
  <c r="R62" i="1"/>
  <c r="P62" i="1"/>
  <c r="K61" i="1"/>
  <c r="S62" i="1"/>
  <c r="R63" i="1"/>
  <c r="P63" i="1"/>
  <c r="S63" i="1"/>
  <c r="K65" i="1"/>
  <c r="J64" i="1"/>
  <c r="J66" i="1"/>
  <c r="R67" i="1"/>
  <c r="K66" i="1"/>
  <c r="P67" i="1"/>
  <c r="R68" i="1"/>
  <c r="S69" i="1"/>
  <c r="S70" i="1"/>
  <c r="P70" i="1"/>
  <c r="R72" i="1"/>
  <c r="R71" i="1" s="1"/>
  <c r="P72" i="1"/>
  <c r="P71" i="1" s="1"/>
  <c r="K71" i="1"/>
  <c r="S72" i="1"/>
  <c r="S71" i="1" s="1"/>
  <c r="Q75" i="1"/>
  <c r="Q76" i="1"/>
  <c r="Q77" i="1"/>
  <c r="M79" i="1"/>
  <c r="M78" i="1" s="1"/>
  <c r="L78" i="1"/>
  <c r="Q81" i="1"/>
  <c r="Q80" i="1" s="1"/>
  <c r="K83" i="1"/>
  <c r="J82" i="1"/>
  <c r="O83" i="1"/>
  <c r="O82" i="1" s="1"/>
  <c r="N82" i="1"/>
  <c r="P84" i="1"/>
  <c r="S85" i="1"/>
  <c r="Q85" i="1"/>
  <c r="R85" i="1"/>
  <c r="L86" i="1"/>
  <c r="K86" i="1"/>
  <c r="O87" i="1"/>
  <c r="Q87" i="1" s="1"/>
  <c r="N86" i="1"/>
  <c r="R92" i="1"/>
  <c r="S92" i="1"/>
  <c r="P92" i="1"/>
  <c r="S95" i="1"/>
  <c r="P95" i="1"/>
  <c r="R95" i="1"/>
  <c r="S96" i="1"/>
  <c r="R98" i="1"/>
  <c r="P98" i="1"/>
  <c r="Q98" i="1"/>
  <c r="S101" i="1"/>
  <c r="Q101" i="1"/>
  <c r="R101" i="1"/>
  <c r="P101" i="1"/>
  <c r="S107" i="1"/>
  <c r="R108" i="1"/>
  <c r="P108" i="1"/>
  <c r="Q108" i="1"/>
  <c r="S109" i="1"/>
  <c r="R110" i="1"/>
  <c r="P110" i="1"/>
  <c r="Q110" i="1"/>
  <c r="S111" i="1"/>
  <c r="R88" i="1"/>
  <c r="S88" i="1"/>
  <c r="S89" i="1"/>
  <c r="P89" i="1"/>
  <c r="R90" i="1"/>
  <c r="P90" i="1"/>
  <c r="S93" i="1"/>
  <c r="P93" i="1"/>
  <c r="R94" i="1"/>
  <c r="P94" i="1"/>
  <c r="M100" i="1"/>
  <c r="M99" i="1" s="1"/>
  <c r="L99" i="1"/>
  <c r="R103" i="1"/>
  <c r="R102" i="1" s="1"/>
  <c r="P103" i="1"/>
  <c r="P102" i="1" s="1"/>
  <c r="K102" i="1"/>
  <c r="S103" i="1"/>
  <c r="S102" i="1" s="1"/>
  <c r="M105" i="1"/>
  <c r="M104" i="1" s="1"/>
  <c r="L104" i="1"/>
  <c r="Q61" i="1" l="1"/>
  <c r="S61" i="1"/>
  <c r="R10" i="1"/>
  <c r="L112" i="1"/>
  <c r="R5" i="1"/>
  <c r="N112" i="1"/>
  <c r="J112" i="1"/>
  <c r="Q86" i="1"/>
  <c r="S83" i="1"/>
  <c r="S82" i="1" s="1"/>
  <c r="Q83" i="1"/>
  <c r="Q82" i="1" s="1"/>
  <c r="R83" i="1"/>
  <c r="R82" i="1" s="1"/>
  <c r="K82" i="1"/>
  <c r="P83" i="1"/>
  <c r="P82" i="1" s="1"/>
  <c r="Q73" i="1"/>
  <c r="S65" i="1"/>
  <c r="S64" i="1" s="1"/>
  <c r="Q65" i="1"/>
  <c r="Q64" i="1" s="1"/>
  <c r="P65" i="1"/>
  <c r="P64" i="1" s="1"/>
  <c r="R65" i="1"/>
  <c r="R64" i="1" s="1"/>
  <c r="K64" i="1"/>
  <c r="P61" i="1"/>
  <c r="P10" i="1"/>
  <c r="Q106" i="1"/>
  <c r="P106" i="1"/>
  <c r="S79" i="1"/>
  <c r="S78" i="1" s="1"/>
  <c r="Q79" i="1"/>
  <c r="Q78" i="1" s="1"/>
  <c r="R79" i="1"/>
  <c r="R78" i="1" s="1"/>
  <c r="K78" i="1"/>
  <c r="P79" i="1"/>
  <c r="P78" i="1" s="1"/>
  <c r="Q10" i="1"/>
  <c r="Q5" i="1"/>
  <c r="M112" i="1"/>
  <c r="S16" i="1"/>
  <c r="S106" i="1"/>
  <c r="R87" i="1"/>
  <c r="R86" i="1" s="1"/>
  <c r="O86" i="1"/>
  <c r="O112" i="1" s="1"/>
  <c r="P87" i="1"/>
  <c r="P86" i="1" s="1"/>
  <c r="S87" i="1"/>
  <c r="S86" i="1" s="1"/>
  <c r="P66" i="1"/>
  <c r="R66" i="1"/>
  <c r="R61" i="1"/>
  <c r="P5" i="1"/>
  <c r="R106" i="1"/>
  <c r="S105" i="1"/>
  <c r="S104" i="1" s="1"/>
  <c r="Q105" i="1"/>
  <c r="Q104" i="1" s="1"/>
  <c r="P105" i="1"/>
  <c r="P104" i="1" s="1"/>
  <c r="R105" i="1"/>
  <c r="R104" i="1" s="1"/>
  <c r="K104" i="1"/>
  <c r="S100" i="1"/>
  <c r="S99" i="1" s="1"/>
  <c r="Q100" i="1"/>
  <c r="Q99" i="1" s="1"/>
  <c r="R100" i="1"/>
  <c r="R99" i="1" s="1"/>
  <c r="K99" i="1"/>
  <c r="P100" i="1"/>
  <c r="P99" i="1" s="1"/>
  <c r="R74" i="1"/>
  <c r="R73" i="1" s="1"/>
  <c r="P74" i="1"/>
  <c r="P73" i="1" s="1"/>
  <c r="S74" i="1"/>
  <c r="S73" i="1" s="1"/>
  <c r="K73" i="1"/>
  <c r="S66" i="1"/>
  <c r="S10" i="1"/>
  <c r="S5" i="1"/>
  <c r="P16" i="1"/>
  <c r="R16" i="1"/>
  <c r="Q112" i="1" l="1"/>
  <c r="R112" i="1"/>
  <c r="K112" i="1"/>
  <c r="S112" i="1"/>
  <c r="P112" i="1"/>
</calcChain>
</file>

<file path=xl/sharedStrings.xml><?xml version="1.0" encoding="utf-8"?>
<sst xmlns="http://schemas.openxmlformats.org/spreadsheetml/2006/main" count="2584" uniqueCount="364">
  <si>
    <t>ITEMS</t>
  </si>
  <si>
    <t>DESCRIPCION</t>
  </si>
  <si>
    <t>IMAGEN</t>
  </si>
  <si>
    <t>FICHA TECNICA</t>
  </si>
  <si>
    <t>UNIDAD DE MEDIDA</t>
  </si>
  <si>
    <t>CANT</t>
  </si>
  <si>
    <t>LOTE</t>
  </si>
  <si>
    <t>VALOR UNITARIO CDP</t>
  </si>
  <si>
    <t>VALOR TOTAL CDP</t>
  </si>
  <si>
    <t>DISERRA SAS</t>
  </si>
  <si>
    <t>UT SOLUCIONES</t>
  </si>
  <si>
    <t>NELSON ESPITIA</t>
  </si>
  <si>
    <t>PROMEDIO</t>
  </si>
  <si>
    <t>MENOR VALOR</t>
  </si>
  <si>
    <t>MEDIANA</t>
  </si>
  <si>
    <t>MEDIA GEOMÉTRICA</t>
  </si>
  <si>
    <t>PRECIO ELEGIDO</t>
  </si>
  <si>
    <t>UNITARIO</t>
  </si>
  <si>
    <t>TOTAL</t>
  </si>
  <si>
    <t>A-02-01-01-003-008-01-4 10 OTROS MUEBLES N.C.P. $ 5.000.000,00</t>
  </si>
  <si>
    <t>BANCO DE TRABAJO TUBO
REFORZADO PARA DIFERENCIA DE DOS
TONELADAS</t>
  </si>
  <si>
    <t>● Banco de trabajo con capacidad para 3,5 toneladas, de 5,4 metros de distancia entre columnas, 2,8 metros de altura desde el piso hasta el borde superior.
● Haz principal en viga tipo IPR con capacidad de desmonte a las patas de apoyo.
● Patas de apoyo de material en acero al carbono que resiste hasta el doble de la capacidad solicitada de 3,5 TON con platinas que permitan unirse mediante tornillos a la Barra de soporte.
● Barra de soporte de material de 2 metros de largo en acero al carbono que resiste hasta el doble de la capacidad solicitada de 3,5 TON, con la capacidad de unirse a las patas de apoyo mediante tornillos.
● Rueda de grúa universal con capacidad de giro de 360 grados, freno y capacidad de soportar las 3,5 TON, desmontables de la barra de soporte.
● Barra estabilizadora ubicada desde el extremo de las barras de soporte hasta la mitad de la columna de las patas de apoyo, con platinas para atornillar, incluye los tornillos.
● Trole de carga para viga IPR con capacidad de 3 TON en Acero de alta resistencia, Ruedas con sistema de baleros que facilitan el desplazamiento.</t>
  </si>
  <si>
    <t>UNIDAD</t>
  </si>
  <si>
    <t>LOTE 2</t>
  </si>
  <si>
    <t>A-02-01-01-004-003-02 10 BOMBAS, COMPRESORES, MOTORES DE FUERZA HIDRÁULICA Y MOTORES DE POTENCIA NEUMÁTICA Y VÁLVULAS Y SUS PARTES Y PIEZAS $ 11.096.644,00</t>
  </si>
  <si>
    <t>BOMBA VACIO DOBLE PROPOSITO</t>
  </si>
  <si>
    <t>BOMBA VACIO DOBLE PROPOSITO, Vacío final: 60 micrON, Motor: 1/4 Hp,Velocidad: 1,720 Rpm, Voltaje: 105v – 120v / 60hz</t>
  </si>
  <si>
    <t>COMPRESOR DE AIRE DE 150 PSI 6
GALONES 1,5 HP</t>
  </si>
  <si>
    <t>Compresor de Aire de 6 Galones (22 Litros) Libre de Aceite – 150 PSI de presión y Motor de 1.5HP. Regulador de presión HIGH FLOW. Motor de 110 Volts. Protección de sobrecarga. Tanque de 6 galones ideal para clavadoras, engrapadoras. HP reales: 1.5 (2hp teóricos). Amperaje: 15 Amp. SCFM a 40 psig: 3.7 y SCFM a 90 psig: 2.6. Presión máxima: 150 psi. Presión de re-arranque:  120 psi</t>
  </si>
  <si>
    <t>COMPRESOR DE AIRE</t>
  </si>
  <si>
    <t>Descripción fisica:
 • Largo 48 cm
 • Alto 104 cm
 • Ancho 44 cm
 • Peso 41 kg
Especificaciones tecnicas:
 • Tipo Compresores de aire
 • Alimentación Eléctrica
 • Voltaje 120 Voltios
 • Fuente de alimentación Cable eléctrico
 • Nivel de ruido 80 Db
 • Capacidad del estanque de 20 galones
 • Presión máxima del tanque de 175 psi 
 • Potencia de 1.8 HP de potencia
 • Fabricado en acero inoxidable, pies de goma y bomba sin aceite.
 • Incluye: 1 cable de 6 pies, 1 válvula de drenaje de bola, 1 filtro de plástico, 2 acopladores rápidos, 2 ruedas de goma</t>
  </si>
  <si>
    <t>LOTE 1</t>
  </si>
  <si>
    <t>PISTOLA PETROLIZADORA BOQUILLA  LARGA DISCOVER 1000 CC</t>
  </si>
  <si>
    <t>Funcion y usos: Herramienta diseñada para ser usada con compresor de aire
Cumple tareas de lavado a presión de motores, carrocerías, máquinas industriales entre otros
Descripción fisica;  
• Cuenta con un depósito de 1000cc
 • Boquilla larga para acceder más fácil a diferentes espacios
 • Peso 1.17 kg
Especificaciones tecnicas:  
• Pistola con boquilla , mango en duraluminio y vaso en lamina
 • Vaso de capacidad de 950 centímetros cúbicos
 • Caudal mínimo de uso 2,9 cfm</t>
  </si>
  <si>
    <t>A-02-01-01-004-003-05 10 EQUIPO DE ELEVACIÓN Y MANIPULACIÓN Y SUS PARTES Y PIEZAS $ 11.308.506,00</t>
  </si>
  <si>
    <t>DIFERENCIAL INDUSTRIAL 2 TON, TRUPER 16826</t>
  </si>
  <si>
    <t>Diferencial con ganchos forjados en acero al cromo con giro de 360°, Cadena de carga.
● Polipasto de 2 ton
● Sistema de frenado con doble trinquete que proporciona mayor seguridad
● Mecanismo de triple engranaje
● Levantamiento estándar 3 m
● Ganchos de acero al cromo con giro de 360°
● Capacidad de carga 2 t
● Levantamiento estándar 3 m
● Largo de cadena 3.30 m
● Espesor de eslabón 8 mm
● Apertura de gancho 31 mm
● Peso neto 16 kg</t>
  </si>
  <si>
    <t>GATO HIDRAULICO ESTIBADORA ESTIBADOR MANUAL ZORRA3000 KG</t>
  </si>
  <si>
    <t xml:space="preserve"> Capacidad de carga 1000/1500/1500/2000 kg
Altura de elevación hasta 1600/1600/3000/1600 metros
 Centro de carga 585 mm
 Ancho de la horquilla 160mm
 Longitud de la horquilla 1150mm
 Ruedas de carga 80 X 70 mm
 Ruedas de dirección 150 X 50 mm
 Ancho total 760 mm</t>
  </si>
  <si>
    <t>ESTIBADOR HIDRÁULICO 3 TONELADAS</t>
  </si>
  <si>
    <t xml:space="preserve"> Altura máx uñas: 190 mm
• Altura min uñas: 80 mm
• Diámetro rueda de dirección: 180 mm
• Diámetro ruedas de soporte: 74 x 70 mm
• Peso: 70.6 Kg Aprox
• Ruedas: PA Poliamida Nylon     • Capacidad: 3.000Kg
• Longitud uñas: 122 cm
• Ancho Uñas: 37 mm
• Ancho estibadora: 690 mm</t>
  </si>
  <si>
    <t>ESTIBADORA MANUAL 2.5 TN</t>
  </si>
  <si>
    <t>• Largo de las horquillas: 1.150 mm
• Ancho externo de las horquillas: 680 mm                                                                                                                           • Capacidad de carga nominal: 2.500 Kg
• Centro de gravedad de la carga: 600 mm
• Tipo de operación: Operador caminando
• Toma de carga: Mediante horquillas</t>
  </si>
  <si>
    <t>GATO HIDRAULICO TIPO BOTELLA</t>
  </si>
  <si>
    <t xml:space="preserve"> •Principal función es elevar cargas pesadas, como vehículos, maquinaria o estructuras, de manera segura y controlada.                                                                                                              Capacidad 6 Toneladas
 • Peso 9,1kg   • Material Acero
 • Tipo Gato hidráulico tipo botella</t>
  </si>
  <si>
    <t>A-02-01-01-004-004-02 10 MÁQUINAS HERRAMIENTAS Y SUS PARTES, PIEZAS Y ACCESORIOS $ 104.902.977,00</t>
  </si>
  <si>
    <t>PISTOLA DE PINTAR CON ACCESORIOS</t>
  </si>
  <si>
    <t>● La pistola incluye reguladores de abanico, pintura y regulador de caudal de aire.
● Depósito de gravedad con sistema antigoteo.
● Depósito de 0,8 L. con antigoteo
● Consumo de aire: 240 L/min. a 3,5 bar
● Incorpora filtro de pintura
● Pico y aguja en acero inoxidable
● Presión máxima: 3.50 bar (50 PSI)
● Compresor De Aire 24 Lts Libre Aceite Presión máxima de 135psi, Pistola pulverizadora, Pistola de soplado, Manómetro de presión de neumáticos y Manguera de aire comprimido de 4 metros con diámetro interior de 6 mm y acoples rápidos.
● Con acoplamiento rápido para cambio rápido de herramientas</t>
  </si>
  <si>
    <t xml:space="preserve">UNIDAD   </t>
  </si>
  <si>
    <r>
      <rPr>
        <sz val="6"/>
        <color rgb="FFFF0000"/>
        <rFont val="Arial"/>
        <family val="2"/>
      </rPr>
      <t xml:space="preserve"> EXTRACTOR MANUAL DE </t>
    </r>
    <r>
      <rPr>
        <sz val="6"/>
        <color theme="1"/>
        <rFont val="Arial"/>
        <family val="2"/>
      </rPr>
      <t>1/2  DESTORNILLADOR DE IMPACTO  MULTIUSOS</t>
    </r>
  </si>
  <si>
    <t>Destornillador De Impacto Manual De 1/2" con puntas desmontables.
● Hecho de material de aleación de acero de alta calidad, alta dureza, resistente al desgaste y duradero para un uso prolongado.
● Con dos modos de aflojar y apretar, presionar para girar, fácil de cambiar. L y R.
● Con una caja de almacenamiento portátil, fácil de transportar y almacenar. 
● Destornillador de impacto reversible 
● Juego de 30 piezas: 28 puntas desmontables, 1 adaptador de 8 mm, 1 destornillador de impacto.</t>
  </si>
  <si>
    <t>ALICATE USO BASICO</t>
  </si>
  <si>
    <t>Material: plástico
Aislación: si
Material: metal/plástico
Tipo de alicate: multiuso
Tipo: alicate
Características: Acero de cromo vanadio, mangos de agarre suave totalmente aisladas para trabajo pesado
Largo: 3 cm
Uso de herramientas: básico</t>
  </si>
  <si>
    <t>ALICATE USO PROFESIONAL</t>
  </si>
  <si>
    <t>Mango Bi-Material anti-deslizante. Protección pronunciada en la parte superior del mango, para impedir que la mano toque la mordaza de metal en las aplicaciones eléctricas. Acero Cromo Níquel resistente durable, para cortes fuertes. Superficie de corte tratada térmicamente. Especificaciones técnicas:» Longitud: 8 pulg (203 Mm)» Ancho: 2-2/5" (61 Mm)» Profundidad: 3/4" (19 mm) Herramienta manual para uso profesional.</t>
  </si>
  <si>
    <t>CAUTIN A GAS BUTANO</t>
  </si>
  <si>
    <t>• Tipo de trabajo profesional
• Tipo de material acero 
• Peso: 0,135 kg
• Potencia 
• Longitud: 19 cm
• Ancho: 2.5 cm
• Profundidad: 2.5 cm
• Encendido: Encendido eléctrico
• Duración del encendido: 90 min.
• Capacidad del depósito: 17ml / 12g
• Temperatura: 1200 °C (aire libre) 680 °C (aire caliente) 550 °C (puntas)
• Sin cable.</t>
  </si>
  <si>
    <t>CORTADORA DE PORCELANATO</t>
  </si>
  <si>
    <t>Cortadora de Porcelanato, Cortadora de baldosa Herramienta de corte, Cuenta con capacidad de corte 45°</t>
  </si>
  <si>
    <t>CORTAFRIOS</t>
  </si>
  <si>
    <t>CORTAFRIOS, Cortafrío Diagonal Pulido 7 Pulgadas</t>
  </si>
  <si>
    <t>DESTORNILLADOR 1/4 HEX 7.2 / 14.4 V  DE BATERÍA DESLIZABLE MICROLITHIUM
2.0 AH</t>
  </si>
  <si>
    <t>● Cuerda: 1/4″
● Torque máximo: 103 LB-FT (140 NM)
● Velocidad: 0 – 2,600 RPM
● Golpes: 0 – 3,250 GPM
● Tiempo de recarga: 1.5 HORAS
● Capacidad de la batería: 2 AH
● Voltaje de batería: 20 V
● Especificación de cargador: 127 V / 60 HZ / 40 W
● Peso: 1.4 KG</t>
  </si>
  <si>
    <t>ENCHAPADORA DE RH MELAMINA</t>
  </si>
  <si>
    <t xml:space="preserve">ENCHAPADORA DE RH MELAMINA, * Motor y reductor industrial; El ajuste de la cantidad de adhesivo es fácil y precisa, Ancho máximo del tapacanto de 80 mm, Espesor mínimo del tapacanto 0,3 y máxima de 3 mm, Velocidad de avance 3,5 hasta 9 m/min, Temperatura del calderín 140 ºC hasta 220 ºC, Potencia 1690 W, Material de trabajo: Madera, papel, PVC y ABS,El pegamento es aplicado en la pieza, Pintura epoxica de alta calidad. </t>
  </si>
  <si>
    <t>ESCALERA CERTIFICADA DE TIJERA EN ALUMINIO 6 PELDAÑOS TIPO I</t>
  </si>
  <si>
    <t xml:space="preserve">• Escalera Certificada Tipo Tijera 4 Pasos de 1,20 Metros en Aluminio Tipo I. 
• Escalera tijera aluminio autosoportable.
• Escalera Certificada de Tijera en Aluminio 6 Peldaños Tipo I 
• FICHA TECHNICA: PERFILES o Rieles Extruidos: 
• Gran resistencia mecánica y uniformidad en las características generales. 
• REMACHES más fuertes y durables. 
• Peso, medidas y características homologadas a los Estándares y Normas Internacionales. 
• CAPACIDAD DE CARGA: 225 Libras o 102 Kilogramos. ZAPATAS resistentes, durable en acero galvanizado, con suela plástica antideslizante.
</t>
  </si>
  <si>
    <t>ESCALERA CERTIFICADA TIPO TIJERA 4
PASOS DE 1,20 METROS EN ALUMINIO
TIPO I</t>
  </si>
  <si>
    <t>ESCALERA MULTIPROPÓSITO 3,5 MTS</t>
  </si>
  <si>
    <t>Ancho: 30 cm
alto: 3,5 mts
tipo de escalera: articulada
altura máxima: 3,5 mts
color: aluminio
material: aluminio
uso de herramienta: profesional
peso: 170 kg
características: Escalera multipropósito que tiene distintos puntos de articulación, lo que le permite ocuparlo en distintas posiciones para realizar varios tipos de trabajo.
Tiempo de garantía: 6 meses
Tipo: articulada
Numero de peldaños 14</t>
  </si>
  <si>
    <t>JUEGO DE ALICATES 3 PIEZAS USO BASICO</t>
  </si>
  <si>
    <t>Alto: 27 cm
Ancho: 15 cm
Tipo de trabajo: trabajo liviano
Material: plástico, acero
Largo: 3 cm
Número de piezas: 3</t>
  </si>
  <si>
    <t>SIERRA SABLE INALAMBRICA PARA CORTE DE METAL Y MADERA</t>
  </si>
  <si>
    <t>ADAPTADOR DE TEST ESTÁTICO DE AERONAVE</t>
  </si>
  <si>
    <t>• Tamaño: 12” x 10” Peso: 8,5 libras
•Diseñado para adaptarse a la mayoría de los puertos estáticos de aeronaves generales y militares.
• Estuche de alto impacto 
• Mangueras de alta presión con conexiones de liberación rápida
• Válvulas de seguridad para cortes de energía y fugas del sistema  • Se fija automáticamente al fuselaje del avión.
• Bomba de vacío eléctrica interna
• Viene con una ventosa central de 1/2 pulgada. Hay kits de accesorios disponibles para • Puertos estáticos específicos.
• Entrada de alimentación: 115 V CA 50/60 Hz. Funcionamiento continuo.
• Voltajes personalizados disponibles: 12 V CC, 28 V CC, 115 V CA y 220 V CA.
• Tamaño: 12” x 10” Peso: 8,5 libras  P/N SA3Y-P-UNI-2</t>
  </si>
  <si>
    <t>ADAPTADOR PARA PRUEBA PITOT</t>
  </si>
  <si>
    <t>• Adaptador de prueba de Pitot para algunas aeronaves Cessna
• Este adaptador de prueba de Pitot se adapta a las sondas de Pitot y se conecta a un equipo de prueba de datos aéreos a través de la manguera de prueba de Pitot suministrada que se incluye en los kits de accesorios de prueba de datos aéreos de Nav-Aids • Peso 1 libra.
• Dimensiones (L x An x Al)
8,5 x 3,25 x 3,25 pulgadas 
• Aprobado por la FAA-GSE P/N P96255-3</t>
  </si>
  <si>
    <t>CORTADOR DE PLASMA, CUT50 50 AMP
110V/220V CORTADORA DE DOBLE
VOLTAJE IGBT</t>
  </si>
  <si>
    <t>• Dimensiones del producto ‏ : ‎ 17 x 14 x 10 pulgadas
• Peso 18,78 Libras  • Corriente de salida: 20-55 amperios, tanto a 110V como a 220V 
• Frecuencia: 50/60Hz
• Ciclo de trabajo: 60%
• Tecnologia inversor IGBT
• Incluye: fuente de alimentación, antorcha de plasma, abrazadera de conexión a tierra, conector industrial tipo D NPT de 1/4” preinstalado, regulador de filtro de aire, consumibles, manual de instrucciones
• La máquina incluye un sensor de presión de aire interno, lo que permite a los usuarios ajustar la presión de aire con el regulador. MODELO B07GB3T4KG</t>
  </si>
  <si>
    <t>KIT DE MONTAJE DE TENSOR</t>
  </si>
  <si>
    <t xml:space="preserve"> • KIT DE APAREJO CON TENSOR Permite ajustar tensores a través de orificios de inspección  • Peso 1 lbs MODELO TB12K</t>
  </si>
  <si>
    <t>KIT</t>
  </si>
  <si>
    <t>LLAVE DE TUBO DE CADENA DE ACERO
AL CARBONO RESISTENTE QUE SE
ADAPTA A UN DIÁMETRO MÁXIMO DE
12 PULGADAS, LLAVE DE FILTRO DE
ACEITE DE CADENA GRANDE AJUSTABLE</t>
  </si>
  <si>
    <t>• •  Se emplea en talleres mecánicos para trabajar en motores, sistemas de escape y otras componentes tubulares                                                                                                                                                         Material: Aleación de alta calidad
• Cantidad por paquete ‎1
• Estilo de cabezal ‎Extremo abierto
• Tipo de acabado ‎Cromo plateado
• Modo de operación ‎Mecánico
• UPC ‎784300866244
• Número de pieza ‎AX-1015B
• Tamaño ‎24 Inch
• Estilo ‎24.0 in-plata
• Acabado ‎Cromo plateado
• Tipo de cabezal ‎Extremo abierto</t>
  </si>
  <si>
    <t>PRENSA DE BANCO DE 6</t>
  </si>
  <si>
    <t>PULIDORA 1/2 PULGADA ELECTRICA</t>
  </si>
  <si>
    <t>• Largo 6 pulgadas
• Abertura Madíbula: 5”
• Dimensiones: 46 × 27 × 24 cm
• Peso:  24 kg • Material Acero inoxidable
• Características Gira 360° sobre su eje
• Tensión Max: 30.000 Psi
• Mordazas de acero moleteadas  
• Mordazas inferiores redondas</t>
  </si>
  <si>
    <t>REMACHADORA NEUMATICA TIPO
PISTOLA</t>
  </si>
  <si>
    <t xml:space="preserve"> • Peso: 1,47 kg
 • Diámetro del vástago: 0,401 pulgadas Remachadora tipo empuñadura de pistola con alta potencia, control y durabilidad.
 • Las piezas son compatibles con la serie "X" de Chicago Pneumatic.
 • Resorte de retención tipo colmena con válvula de control de flujo de aire.
 • Para MRO de aeronaves.
 • Longitud (mm): 184
 • Remache conforme (pulgada): 1/4
 • Necesita presión de aire (MPa): 0,62
 • 1740 BPM
 • Material en Acero
 • Aplicación: MRO de aeronaves.
 • Tipo de manija Empuñadura de pistola
 • Tamaño de entrada 1/4
 • Longitud de carrera (pulgadas) 4
 • Longitud del trazo (pulgadas decimales) 4.0000
 • Longitud de carrera (mm) 101.60
 • Consumo de aire (LPM) 280,00
 • Consumo de aire (LPS) 4.00
 • Consumo de aire CFM 8.00
 • Para material de remache Aluminio
 • Tipo de vástago Redondo
 • Diámetro del remache (pulgadas) 1/4
 • Diámetro del remache (mm) 6.35
 • Tamaño de entrada (NPT) 1/4
 • Golpes por minuto 1740
 • Vibraciones por minuto 1740
 • Longitud (pulgadas) 8-1/4
 • Longitud (pulgadas decimales - 4 decimales) 8.2500
 • Incluye Resorte de retención de liberación rápida; Resorte de colmena; Válvula de flujo de aire
 • Código UNSPSC 27111602</t>
  </si>
  <si>
    <t>VÁLVULA DE CONTROL DE TRES VÍAS</t>
  </si>
  <si>
    <t>• Diseñada para ayudar a presurizar equipos neumáticos hasta 5000 PSI
• Llenar piezas hidráulicas en aviones y helicópteros
Controlar el flujo de líquidos en sistemas de tuberías mediante la selección de una de las tres rutas posibles • Nitrógeno compatible y fluidos de aviación estándar ( MIL- H-83282C /MIL-H-5606C/AIR3520/AERO HF 585B/NATO H515 y similares) MODELO  1072-800</t>
  </si>
  <si>
    <t>ESCALERA CERTIFICADA TIPO TIJERA
DIELÉCTRICA EN FIBRA DE VIDRIO DE 12
PASOS</t>
  </si>
  <si>
    <t>• Escalera Certificada Tipo Tijera Dieléctrica 
• En Fibra De Vidrio De 12 Pasos 3,60 M, Peso 136 Kg T1A 
• Escalera dieléctrica tipo tijera de 12 pasos en fibra de vidrio para trabajo pesado (IA). Fabricada según estándar ANSI A14.5-2017. Capacidad de carga 300 lb. Rieles en fibra de vidrio. 
• Escalones en aluminio antideslizante. Zapatas antideslizantes. Capacidad dieléctrica CA 90 kV / CD 25 kV.</t>
  </si>
  <si>
    <t>ESCALERA MULTIPROPÓSITO 3.53MT 12
PASOS ALUMINIO</t>
  </si>
  <si>
    <t>• Escalera Multipropósito 3.53mt 12 Pasos Aluminio.
• Escalera multiposiciones aguanta hasta 150 kg.
• Escalera de alto desempeño, ajustable a diferentes posiciones que ofrecen gran seguridad y versatilidad. 
• Escalera tipo trepador de escalones. Exclusivo mecanismo de seguridad para posiciones múltiples. Plegada para su fácil almacenaje</t>
  </si>
  <si>
    <t>GRAPADORA INDUSTRIAL PARA GRAPA 80</t>
  </si>
  <si>
    <t>GRAPADORA INDUSTRIAL PARA GRAPA 80, Grapadora/clavadora de clavos de aluminio de alta resistencia</t>
  </si>
  <si>
    <t>JUEGO DE ALICATES 3 PIEZAS ALTO
VOLTAJE</t>
  </si>
  <si>
    <t>JUEGO DE ALICATES 3 PIEZAS ALTO VOLTAJE; Fabricados en acero con alto contenido de cromo con tratamiento térmico para una larga vida y durabilidad; Protección pronunciada en la parte superior del mango, para impedir que la mano toque la mordaza de metal en las aplicaciones eléctricas; Exceden las normas: EN60900, IEC/CEI900, VDE0680.</t>
  </si>
  <si>
    <t>JUEGO DE DESTORNILLADORES
DIELECTRICOS CON TESTER</t>
  </si>
  <si>
    <t>• Juego de Destornilladores dieléctricos con tester, 
• 1 Desarmador punta plana 1.8 mm, 
• 2 Desarmadores punta de cruz PH00 a PH0, 
• 2 Desarmadores punta torx T4 y T5, 
• 1 Desarmador punta triwing Y000</t>
  </si>
  <si>
    <t>JUEGO DE DESTORNILLOS DE ESTRELLA</t>
  </si>
  <si>
    <t xml:space="preserve">• Juego de Destornilladores dieléctricos con tester, H47
• 1 Desarmador punta plana 1.8 mm, 
• 2 De+D46sarmadores punta de cruz PH00 a PH0, 
• 2 Desarmadores punta torx T4 y T5, 
• 1 Desarmador punta triwing Y000
</t>
  </si>
  <si>
    <t>JUEGO DE EMBOQUILLAR</t>
  </si>
  <si>
    <t>JUEGO DE EMBOQUILLAR,  incluye 1 cono de escarcha, 2 barras de escarcha, 5 accesorios de swage y 1 caja de almacenamiento, La herramienta de acampada se aplica a tubos de diámetro exterior de 1/8", 3/16", 1/4", 5/16", 3/8", 7/16", 1/2", 5/8", 3/4", Los accesorios de swage se utilizan para 3/16", 1/4", 5/16", 3/8", 1/2", 5/8", 3/4" O.D. tubo, una herramienta de bateo resistente y duradera, kit de herramientas de swaging;kit de acoplamiento giratorio de tipo pivotante y cono de biselado están hechos de acero resistente y cromado para un fácil funcionamiento y precisión. Carcasa de plástico resistente con asa para un fácil transporte, almacenamiento seguro y organización rápida.</t>
  </si>
  <si>
    <t>JUEGO DE RACHE DE 3/8 CON COPAS DE
1/4</t>
  </si>
  <si>
    <t>• JUEGO DE RACHE DE 3/8 CON COPAS DE 1/4 HASTA 1", JUEGO DE RATCHET Y COPAS 85 PIEZAS DE 1/4 A 3/8; 
• CARACTERÍSTICAS PRINCIPALES, Juego de herramienta mecánico, Cuerpo en cromo vanadium,  Mecanismo reversible, Acabado metalizado anticorrosivo, Contenido: 
• 1) 3/8" Ratchet de cabeza de pera. (1) 1/4" Ratchet de cabeza de pera. (1), 3/8" Extensión – 3". (1) 1/4" Extensión – 3",(20) Copas profundos de 6 puntos cuadrante 1/4" SAE: 5/32, 3/16, 7/32, 1/4, 9/32, 5/16, 11/32, 3/8, 7/16, 1/2,  MM:4, 5, 6, 7, 8, 9, 10, 11, 12, 13, (19) Copas de 6 puntos cuadrante 3/8" SAE: 1/4, 5/16, 3/8, 7/16, 1/2, 9/16, 5/8, 11/16,  MM: 6, 7, 8, 9, 10, 11, 12, 13, 14, 15, 17, (24) Copas de 6 puntos cuadrante 1/4" SAE: SAE: 5/32, 3/16, 7/32, 1/4, 9/32, 5/16, 11/32, 3/8, 7/16, 1/2, 9/16, MM: 4, 4.5, 5, 5.5, 6, 7, 8, 9, 10, 11, 12, 13, 14, (1) Copa para bujías de 5/8", 6 puntos, cuadrante 3/8",(1) Adaptador de puntas con cuadrante de 1/4".  (1) Mango adaptador de puntas con cuadrante de 1/4", (15) Puntas con cuadrante de 1/4": 25mm.</t>
  </si>
  <si>
    <t>JUEGO</t>
  </si>
  <si>
    <t>JUEGO LLAVES BRISTOL</t>
  </si>
  <si>
    <t>JUEGO LLAVES BRISTOL 7 piezas, Torx Largas en Organizador Plástico</t>
  </si>
  <si>
    <t>KIT ALICATES DIELECTRICO</t>
  </si>
  <si>
    <t>Aislado y certificado a Q7AC.
  Cabezas de niquel/cromo pulidas
  Bocas afiladas y templadas
  Alicates aislados para electricidad
  Resistencia a la corrosión  
  (1) Alicate de Electricista 1000V 7-1/4" (185 mm)
  (1) Alicate de Punta Larga 1000V 8-1/4" (210 mm)
  (1) Alicate Corte Diagonal VDE 1000V 6-7/8" (175 mm)</t>
  </si>
  <si>
    <t>KIT DESTORNILLADORES DIELECTRICOS</t>
  </si>
  <si>
    <t>Juego de destornilladores aislados conformado por 7 piezas, con un contenido de 4 destornilladores de pala (punta estándar) de 3.5, 4, 5.5, 6.5mm, 2 destornilladores de estrella (punta phillips) #1 y #2, y un probador de corriente; con la norma en60900 mango ergonómico.</t>
  </si>
  <si>
    <t>KIT STERM COPA METAL CHAPAS</t>
  </si>
  <si>
    <t>KIT STERM COPA METAL CHAPAS, Diámetro:  3/4, 7/8,1-1/8, 1-1/2, 1-3/4, 2-1/4 pulg,Tipo Árbol adaptador y broca piloto, Piezas Por Paquete:  6</t>
  </si>
  <si>
    <t>KIT TALADRO PERCUTOR INALAMBRICO
1/2-PULG 20V</t>
  </si>
  <si>
    <t>Kit Taladro Percutor inalámbrico 1/2-pulg 20V, Kit 20v Brushless Taladro Percutor 1/2 Pulgada + Atornillador De Impacto + 2 Baterías 2ah + 1 Batería 4ah Adicional Dewalt</t>
  </si>
  <si>
    <t>LIJADORA ORBITAL</t>
  </si>
  <si>
    <t xml:space="preserve">LIJADORA ORBITAL, Lijadora 1/3 200W 6000-12000Rpm </t>
  </si>
  <si>
    <t>PONCHADORA PARA CONECTORES A
COMPRESIÓN DE CABLE COAXIAL RG-59,
RG-6 Y RG-11</t>
  </si>
  <si>
    <t xml:space="preserve">• Cabezal giratorio que permita la adaptación de diferentes tipos de conectores para cable coaxial como mínimo conectores tipo RG-59, RG-6, Y RG11
• Hecho de acero de alto carbono duradero con acabado de óxido negro 
• Empuñadoras ergonómicas
• Herramienta para fijar conectores de compresión. </t>
  </si>
  <si>
    <t>PULIDORA 4 1/2</t>
  </si>
  <si>
    <t>PULIDORA 4 1/2, botón grande de bloqueo, contorno de 179mm, entrada de aire "louver" interruptor de 2 movimientos, cable de 20 M</t>
  </si>
  <si>
    <t>SIERRA CIRCULAR DE MANO</t>
  </si>
  <si>
    <t>SIERRA  CIRCULAR DE MANO;  Diseño ergonómico, Base en aluminio, Alta capacidad de corte, Conector para aspirador de polvo, Ajuste de profundidad de corte; Potencia: 1200w
 Velocidad:  5.200 rpm, Corte a 90°:  64mm,Corte a 45°:  42mm, Diámetro del disco:  185mm,Dimensiones (L x A x A):  309 x 234 x 255mm,Peso:  3.9Kg,Doble Aislamiento.</t>
  </si>
  <si>
    <t>SONDA ELECTRICA</t>
  </si>
  <si>
    <t>Sonda Eléctrica – Motor 300W
18.4 metros de Guaya de Ø16mm*8 unidades de 2.3metros
7.5 metros de guaya Ø8mm
8 puntas para guaya</t>
  </si>
  <si>
    <t>TALADRO DE ARBOL</t>
  </si>
  <si>
    <t>TALADRO DE ARBOL, Par máximo: 60 Nm, velocidad variable: 0-2.800 RPM, taladro de banco de alto rendimiento, ideal para trabajos pesados.</t>
  </si>
  <si>
    <t>TALADRO ROTOMARTILLO</t>
  </si>
  <si>
    <t>TALADRO ROTOMARTILLO
Taladro rotomartillo</t>
  </si>
  <si>
    <t>ESCALERA MULTIPROPOSITO</t>
  </si>
  <si>
    <t xml:space="preserve">
Ancho: 30 cm 
-Alto: 3.19 m 
-Tipo de escalera: Articulada 
-Modelo: AO56-403 
-Altura Máxima: 3.19 m 
-Color: Aluminio 
-Material: Aluminio 
-Peso máximo soportado: 150 kg 
-Características 
Escalera multipropósito que tiene distintos puntos de articulación, lo que le permite ocuparlo en distintas posiciones para realizar varios tipos de trabajo. 
-Número de Peldaños: 12 </t>
  </si>
  <si>
    <t>A-02-01-01-004-004-09 10 OTRA MAQUINARIA PARA USOS ESPECIALES Y SUS PARTES Y PIEZAS $ 2.745.850,00</t>
  </si>
  <si>
    <t>PISTOLA DE ENGRASE</t>
  </si>
  <si>
    <t xml:space="preserve"> • Dimensiones ‎22,5 x 13 x 5,5 pulgadas
 • Manguera de 40 pulgadas   • Transmisión de dos velocidades
 • Gatillo de velocidad variable
 • Tipo de batería: Batería de iones de litio de 20 V MÁX.*
 • Inalámbrico o con cable: Sin cable
 • Individual o conjunto: COLOCAR
 • Número de piezas: 3
 • Fuente de energía: Batería
 • Altura del producto: 5,3 PULGADAS
 • Longitud del producto: 22,2 PULGADAS
 • Peso del producto:12,9 libras
 • Ancho del producto:13,1 PULGADAS
 • Voltaje (V):20 voltios</t>
  </si>
  <si>
    <r>
      <t>ASPIRADORA INALÁMBRICA I</t>
    </r>
    <r>
      <rPr>
        <sz val="6"/>
        <color rgb="FFFF0000"/>
        <rFont val="Arial"/>
        <family val="2"/>
      </rPr>
      <t>NDUSTRIAL</t>
    </r>
  </si>
  <si>
    <t>• Peso con embalaje incluido: 5,8 kg
• Dimensiones (la. × an. × al.) (mm): 386 x 279 x 312 • Consumo energético: 230W
• Tamaño del depósito: 7 lt
• Material del depósito: Plástico
• Tipo de batería: Batería de iones de litio
• Plataforma de batería: Plataforma de baterías de 18 V
• Tensión: 18V
• Capacidad:  2,5Ah
• Autonomía por cada carga de la batería: 10 (2,5 Ah) / aprox. 20 (5 Ah) min/aprox
• Tiempo de carga de la batería: 5 h
• Intensidad de salida: 0,5 Ah
• Conexión de red del cargador: 110-220V / 50-60Hz
• Longitud del cable del cargador: 1,8 mt
• Incluye: Batería y cargador, Manguera de aspiración x1.2 m, Filtros de cartucho dos piezas, Boquilla para ranuras, Boquilla para tapicerías, Bolsa de filtro de papel.</t>
  </si>
  <si>
    <t>A-02-01-01-004-006-02 10 APARATOS DE CONTROL ELÉCTRICO Y DISTRIBUCIÓN DE ELECTRICIDAD Y SUS PARTES Y PIEZAS $ 5.664.995,00</t>
  </si>
  <si>
    <t>CARGADOR DE BATERIAS STAR 330-
230V</t>
  </si>
  <si>
    <t xml:space="preserve">• PESO 12,5 kg
• DIMENSIONES 30,5 – 36 – 63 cm 
• Tipo : Arrancador
• Amperaje : 200 A
• Para baterías WET, GEL, AGM, MF, PbCa, EFB y Li con tensión de 12V/24V
• Incluye: PINZA POSITIVO - 712747 PINZA DE MASA - 712748
• POSICIONES DE REGULATION 7
• MAX CAPACIDAD NOMINAL REFEREN. 450 Ah
• MIN CAPACIDAD NOM. REFEREN 10 Ah
• CORR. DE PUESTA EN MARCHA MAX 300 A
• CORR. ARRANQUE 1V/C EN60335-2-29 180 A
• CORR. CARGA CONVEN. EN60335-2-29 30 A
• CORRIENTE DE CARGA EFFICACE 45 A
• TENSIÓN DE CARGA 12/24 V
• POTENCIA DE ARRANQUE 6,4 KW
• POTENCIA DE CARGA 1 KW
• FRECUENCIA DE RED 50 / 60 Hz
• TENSIÓN DE RED MONOFASICA 230 V
•  Pantalla: Cuenta con una pantalla digital o LCD que muestra información sobre el estado de carga, voltaje, corriente, etc.
</t>
  </si>
  <si>
    <t>A-02-01-01-004-006-05 10 LÁMPARAS ELÉCTRICAS DE INCANDESCENCIA O DESCARGA; LÁMPARAS DE ARCO, EQUIPO PARA ALUMBRADO ELÉCTRICO; SUS PARTES Y PIEZAS $ 9.184.900,00</t>
  </si>
  <si>
    <t>LUZ DELGADA LED</t>
  </si>
  <si>
    <t>• Máximo 400 lm en configuración de lámpara; 65 lm en foco
• Tres horas de tiempo de funcionamiento en modo lámpara; 19 horas en modo foco
• El tiempo de carga es de aproximadamente 3 horas.
• Fuerte respaldo magnético
• Puerto de carga USB-C
• Clasificación IP66; resistente al agua
•  Iluminación dual, frontal y lateral.
•  Lampara recargable de LED
• Iluminación dual, frontal y lateral.
• Contiene cable de carga.
• Contiene (02) dos ganchos • Delgado de 11,5" de largo  REFE:ECSHC042</t>
  </si>
  <si>
    <t>LUZ DE TALLER RECARGABLE 6 SMD DE
ALTO RENDIMIENTO</t>
  </si>
  <si>
    <t>• Peso 0.4309 kg
• Dimenciones 24.13 × 7.62 × 24.13 cm                                                                                          • Seis LED SMD  
• Salida de luz de 350 lúmenes
• Batería de iones de litio de 2000 mAh 
• Requiere solo 4 horas de carga
• Cargador USB y cable 
• Sellado contra la humedad y el polvo
• Clasificación IP65
• Dos configuraciones de brillo 100% y 50%
• Bisagra de 180 grados para flexibilidad de montaje
• Imán fuerte en la base para montaje en superficies ferrosas
• Gancho y soporte retráctiles para múltiples opciones de posicionamiento
• La lente frontal empotrada reduce la probabilidad de rayones en la superficieREF:  ECFBP6</t>
  </si>
  <si>
    <t>LUZ DE TRABAJO LED</t>
  </si>
  <si>
    <t>•• Dimensiones del producto ‎9,45"l. x 2,17"an. x 9,25"al. Pulgadas                                      Forma ‎Rectangular
• Material ‎Aluminio
• Tipo de fuente de luz ‎Diodo emisor de luz
• Material de la pantalla ‎Metal
• Fuente de alimentación ‎Cable eléctrico
• Estilo ‎Moderno
• Voltaje ‎120 Voltios
• Brillo ‎5000 lumen
• Potencia máxima compatible con fuente de luz ‎50 Vatios
• Potencia de la fuente de luz ‎50 Vatios
• Temperatura de color ‎6E+3 Kelvin
• Número de Fuentes de Luz ‎60
• Base del foco ‎GX5.3
• Vataje ‎50 vatios
• Vataje ‎50 Vatios</t>
  </si>
  <si>
    <t>LUZ DE TRABAJO RECARGABLE LED</t>
  </si>
  <si>
    <t>• Tamaño 54*92*345mm
• Peso 420g • 1500Lumen
• Potencia 10W
• Modo Bajo estándar-Luz fuerte/Prensa larga-Luz baja-Luz fuerte
• Lumen 300Lm + 1200Lm
• Certificación CE ROHS FCC EMC
• Función Fuente de luz doble, succión magnética, gancho
• Material Aleación de aluminio + ABS + PC
• Batería 2*18650 baterías recargables 4800Mah
• Fuente de alimentación TYPE-C</t>
  </si>
  <si>
    <t>A-02-01-01-004-006-09 10 OTRO EQUIPO ELÉCTRICO Y SUS PARTES Y PIEZAS $ 31.178.000,00</t>
  </si>
  <si>
    <t>START PAC LI2800QC UNIDAD DE
ARRANQUE DE MOTOR DE LITIO TWIN
PAC DE 28,5 V CC</t>
  </si>
  <si>
    <t xml:space="preserve">• Dimensiones – Largo x Ancho x Alto 
   19,2″ x 7,5″ x 9,75″
   48,8 x 19 x 24,8 cm
• Peso : 46 libras/20,9 kg • Tipo de bateria Batería de iones de litio segura.
• Voltaje 28 VCC
• Corriente pico 2400 A
• Capacidad a 10 amperios, 31 Ah
• Batería extraíble independiente para realizar cambios de batería de forma rápida y sencilla </t>
  </si>
  <si>
    <t>A-02-01-01-004-008-02 10 INSTRUMENTOS Y APARATOS DE MEDICIÓN, VERIFICACIÓN, ANÁLISIS, DE NAVEGACIÓN Y PARA OTROS FINES (EXCEPTO INSTRUMENTOS ÓPTICOS); INSTRUMENTOS DE CONTROL DE PROCESOS INDUSTRIALES, SUS PARTES, PIEZAS Y ACCESORIOS $ 19.865.574,00</t>
  </si>
  <si>
    <t>LIMPIADOR Y PROBADOR DE UNIDAD DE
SERVICIO DE BUJÍAS DE AVIACION</t>
  </si>
  <si>
    <t>• Peso 15 lbs
• Dimensiones 13 17.5 × × 12.5 en • Material de plástico ABS resistente
• Marco de base de aluminio
• Altura: 11 1/2 pulg./29.2 cm
• Ancho: 16 cm / 3 8/41.5 pulg.
• Profundidad: 12 cm / 1 8/30.7 pulg.
• Requiere aire comprimido: 125-180PSI / 8.9-12.8 kg / cm²
• Requisitos eléctricos: 115V 60HZ 35W
• Tamaño de la caja: 12 x 1 x 2 cm / 13 17/1 pulg. X 2 pulg. X 31.8 33.0/44.5 pulg.
• Seleccionar voltaje: 110v, 220v</t>
  </si>
  <si>
    <t>PROBADOR DE PRESIÓN DIFERENCIAL
ATS PRO CON ORIFICIO MAESTRO</t>
  </si>
  <si>
    <t>•  Estuche rígido protector ajustado incluido. Calibrado de fábrica. Carta de certificación disponible a pedido • El tamaño del orificio es de 0,040". Los manómetros de precisión coinciden con un margen de +/-2%. Incluye adaptador de bujía de 18 mm, manguera de presión de 24" e instrucciones completas.
• Manometros deben contar con certificado de verificación de parametros vigente.</t>
  </si>
  <si>
    <t>DISTENCIOMETRO LASSER</t>
  </si>
  <si>
    <t>Alcance de hasta 50 metros y es compatible con un trípode de 1/4", Máxima protección contra el polvo y chorros de agua (IP 65).</t>
  </si>
  <si>
    <t>PROBADOR DE REDES CON GENERADOR DE TONO</t>
  </si>
  <si>
    <t>Frecuencia de tono: hasta 130 khz distancia de transmisión y mapa de cables: 3 km y 300 m modo de tono: tono único conectores compatibles: rj45 (8 pines) / rj11 (6 pines) tipo de cable: rj45 lan cable cat 5.5e .6.7 (utp/stp). cable telefónico rj11 / 12 cat 3 (6p / 2c / 4c / 6c) prueba de conducción: 1 led (3 00), cable coaxial latiguillo común sólido/trenzado latiguillo con pinza de cocodrilo pantalla blindada: 8 velocidades/baja velocidad led de doble velocidad , 1 led pantalla de polaridad de línea: 1 led de dos colores frecuencia: 130 khz conectores compatibles: rj45 (8 pines) / rj11 (6 pines) pantalla de estado de la señal: 1 led de dos colores y zumbador de amplificador, mapa de cable de conector de oído de construcción y pantalla de protección : 8 led 1 led ncv pantalla: 1 led (ac90-1000v) iluminación led: 1 led tipo de batería: cc 9,0 v (neda 1604 / 6f 22 cc 9 v (no incluida) tamaño del artículo: 203x50x32 mm peso del artículo: 140 g</t>
  </si>
  <si>
    <t>A-02-01-01-004-008-03 10 INSTRUMENTOS ÓPTICOS Y EQUIPO FOTOGRÁFICO; PARTES, PIEZAS Y ACCESORIOS $ 570.000,00</t>
  </si>
  <si>
    <t>LUPA LED CON BRAZO ARTICULAR</t>
  </si>
  <si>
    <t>Lupa con 5 dioptrías
• Iluminación de 56 LEDs ultra brillantes
• Brazo articulado con extensión hasta 1,1m
• Mordaza que se adapta a cualquier escritorio o mesa de trabajo
• Cubierta para proteger el lente de aumento</t>
  </si>
  <si>
    <t>A-02-01-01-004-009-01 10 VEHÍCULOS AUTOMOTORES, REMOLQUES Y SEMIRREMOLQUES; Y SUS PARTES, PIEZAS Y ACCESORIOS  $ 2.240.000,00</t>
  </si>
  <si>
    <t>BARRA DE REMOLQUE CESSNA</t>
  </si>
  <si>
    <t>• Longitud plegable: 26"
• Longitud total: 46,5"
• Peso 3,75 lbs
• Fabricada en Acero cromado 4130. • Fijada a tuercas de 5/8" en el puntal delantero.
• Pasador de tracción de 1/4. REF  13-01540</t>
  </si>
  <si>
    <t>A-02-01-01-004-009-09-3 10 VEHÍCULOS N.C.P. SIN PROPULSIÓN MECÁNICA $ 3.820.000,00</t>
  </si>
  <si>
    <t>CARRETILLA ANTIPINCHAZO</t>
  </si>
  <si>
    <t>Tipo: carretilla
Uso: profesional
Modelo: versátil
Capacidad de levante: 5 ft
Características: Carretilla de tolva de 5 ft, material de la tolva metálica, rin metálico, ruda antipinchazo
Color: naranja</t>
  </si>
  <si>
    <t>CARRETILLA ANTIPINCHAZO 3.5 TOLVA
METÁLICA 65 LITROS</t>
  </si>
  <si>
    <t>Carretilla Antipinchazo 3.5 Tolva Metálica  65 litros</t>
  </si>
  <si>
    <t>CARRO RODANTE PARA HERRAMIENTAS</t>
  </si>
  <si>
    <t xml:space="preserve">
• Fabricado en lámina de acero SAE 1005.
• Asas laterales de acero SAE 1015.
• Cerraduras de alta seguridad.
• Llantas de alto impacto con freno manual que facilitan su traslado.
• Construcción reforzada de doble pared de acero.
• 3 Amplios cajones y 1 compartimento con cerraduras de alta seguridad.
• Peso máximo soportado 90 kg
• Alto 88 cm
• Cierre Presión
• Material Metal
• Ancho 68 cm
• Fondo 46 cm
• Garantía Producto 12 meses</t>
  </si>
  <si>
    <t>A-02-02-01-004-002 10 PRODUCTOS+A88:F89 METÁLICOS ELABORADOS (EXCEPTO MAQUINARIA Y EQUIPO)  $ 4.242.273,00</t>
  </si>
  <si>
    <t>MARTILLO MANGO METALICO</t>
  </si>
  <si>
    <t>MARTILLO de uña, 27 onz largo de 13" mango de madera</t>
  </si>
  <si>
    <t>ALMADANA DE 4 LIBRAS</t>
  </si>
  <si>
    <t>ALMADANA DE 4 LIBRAS, Herramienta de albañilería diseñada para romper, golpear o deformar</t>
  </si>
  <si>
    <t>BARRA DE ACERO DE 18 PULGADAS</t>
  </si>
  <si>
    <t xml:space="preserve">• Barra de acero de 18 pulgadas, Forjada en un solo cuerpo de acero con alto contenido de carbono y procesos de temple para garantizar una mayor durabilidad. </t>
  </si>
  <si>
    <t>CINCEL PARA ROTO MARTILLO SDS PLUS</t>
  </si>
  <si>
    <t>CINCEL PARA ROTO MARTILLO SDS PLUS, Empuñadura de SDS, Acero de aleación de alta calidad, Tratamiento término en su conjunto, Punta forjada.</t>
  </si>
  <si>
    <t>JUEGO DE BROCAS 5 PIEZAS PARA
MADERA TIPO FORSTNERS 15 A 35 MM</t>
  </si>
  <si>
    <t xml:space="preserve">JUEGO DE BROCAS FRESAS RUTEADORA, cuchilla de carburo de tungsteno, se mantiene afilada por más tiempo, practico estuche de madera, medidas marcadas en cada broca para fácil identificación, zanco 1/4", velocidad e corte15,00 r/min, tipo de empaque caja en blister, 3 brocas rectas de 2 filos 1/4"* 3/4, 1/4"*1"y 1/2"*1"; broca rebajadora con balero 1 1/4"* 1/2";broca redondeadora con balero 1 1/4"* 5/8"; broca doble romana con balero 1 3/8"* 7/8"; llave allen. </t>
  </si>
  <si>
    <t>JUEGO DE BROCAS FRESAS RUTEADORA</t>
  </si>
  <si>
    <t>JUEGO DE BROCAS METAL DE 1/4 A 1/16; Juego de brocas acero rápido 1/16" (1.5 mm) a 1/4" (6 mm) 13 piezas barracuda
Kit de brocas para Metal forjadas de alta acero de alta velocidad, asegurando alta calidad y durabilidad. Incluye estuche inyectado para la organización y el almacenamiento de herramientas.</t>
  </si>
  <si>
    <t>JUEGO DE BROCAS METAL DE 1/4</t>
  </si>
  <si>
    <t>JUEGO DE BROCAS TUNSGTENO</t>
  </si>
  <si>
    <t>JUEGO DE BROCAS TUNSGTENO, juego De 9 Brocas Combinadas; Hss, Brocas Para Piedra De Carburo De Tungsteno Y Brocas Para Madera Cv En Un Juego De Brocas Combinadas. Los Diámetros. Para Metal 4Mm-6Mm-8Mm, Para Concreto 4Mm-6Mm-8Mm Y Para Madera 4Mm-6Mm-8Mm</t>
  </si>
  <si>
    <t>JUEGO PUNTA MAXFIT ULTRA 2</t>
  </si>
  <si>
    <t>JUEGO PUNTA  MAXFIT ULTRA 2, Diseño Anti-snap™ para reducir la rotura de las brocas, Punta de ajuste de precisión para reducir el Cam-Out,ID de tamaño grabado con láser para una fácil identificación de las puntas, El vástago de 1/4" tiene clasificación de impacto para su uso en taladros y destornilladores de impacto.</t>
  </si>
  <si>
    <t>MARCO DE SEGUETA</t>
  </si>
  <si>
    <t>MARCO DE SEGUETA  Arco de segueta de alta tensión 12" (305 Mm)
 300 lbs (136 kg) Tensión de la Hoja
 45° Para Cortes al Ras
 Empuñadura de goma para mayor comodidad
 Perilla cómoda para ajustar la tensión de la hoja
 Capacidad de almacenaje de 8 hojas en el marco
 Profundidad del arco 4-1/4" (108 mm)
 Sistema para alto alcance
 Marco metálico de alta resistencia
 Aplicaciones comunes: Corte de tubos, vigas y metales</t>
  </si>
  <si>
    <t>MARTILLO MANGO MADERA</t>
  </si>
  <si>
    <t>27 onz largo de 13" mango de madera</t>
  </si>
  <si>
    <t>PICA 5 LIBRAS CON CABO</t>
  </si>
  <si>
    <t>Pica 5 libras con cabo, Pica con cabo de 5 libras de madera, hierro macizo.</t>
  </si>
  <si>
    <t>A-02-02-01-004-003-02 10 BOMBAS, COMPRESORES, MOTORES DE FUERZA HIDRÁULICA Y MOTORES DE POTENCIA NEUMÁTICA Y VÁLVULAS Y SUS PARTES Y PIEZAS $10.200.125,00</t>
  </si>
  <si>
    <t>REGULADOR DE OXIGENO</t>
  </si>
  <si>
    <t xml:space="preserve"> • Rangos de presión 0-750 a 0-6000 PSIG
 • Presión máxima de entrada: 6000 PSIG (415 BAR)
 • Rango de temperatura: -40 ° F a 140 ° F (-40 ° C a 60 ° C)
 • Calibradores: Latón cromado de 2 1/2 ''(53 mm) de diámetro
 • Puertos: 1/4 ''FPT
 • Codigo P238709
 • Presión máxima de entrada (cuerpo desnudo): 3000 PSIG (210 BAR); 5500 PSIG (380 BAR); o 6000 PSIG (415 BAR)
 • Cuerpo: Barra de latón cromado
 • Capó: Barra de latón cromado
 • Calibres: caja chapada de 2 1/2 pulgadas (68 mm) de diámetro
 • Asiento: entrada PCTFE 3000 PSIG (210 BAR) y 4500 PSIG (380 BAR); o entrada PEEK 6000 PSIG (415 BAR)
 • Filtro: bronce sinterizado de 10 micras
 • Rango de temperatura: -40 °F a 140 °F (-40 °C a 60 °C)
 • Pistón: Barra de latón
 • Cv: 0,1
 • Juntas internas: FKM (encapsuladas)
 • Puertos (cuerpo desnudo): 1/4 pulg. FNPT
 • Conformidades: La limpieza cumple o supera CGA G-4.1; ANSI/ASME B40.1; PED 2014/68/EU; CRN OH5216 MODELO  SERIE 492</t>
  </si>
  <si>
    <t>VALVULA DE CARGA DE REFRIGERANTE R-410A</t>
  </si>
  <si>
    <t>VALVULA DE CARGA DE REFRIGERANTE R-410ª</t>
  </si>
  <si>
    <t>A-02-02-01-004-004-02 10 MÁQUINAS HERRAMIENTAS Y SUS PARTES, PIEZAS Y ACCESORIOS $ 120.000,00</t>
  </si>
  <si>
    <t>AVELLANADORA TALADRO PUNTA
BROCA</t>
  </si>
  <si>
    <t>Avellanador para taladro con Broca y Punta PH#2 para uso de tornillo #10. Material: Acero CR-V. Vástago Hexagonal de 1/4-pulg. Función de bloqueo.</t>
  </si>
  <si>
    <t>A-02-02-01-004-006-05 10 LÁMPARAS ELÉCTRICAS DE INCANDESCENCIA O DESCARGA; LÁMPARAS DE ARCO, EQUIPO PARA ALUMBRADO ELÉCTRICO; SUS PARTES Y PIEZAS  $ 2.100.000,00</t>
  </si>
  <si>
    <t>LINTERNA 3 EN 1</t>
  </si>
  <si>
    <t>Con función de lámpara, linterna y luz de emergencia, con las siguientes características:
- la linterna debe tener dos niveles de iluminación (alto y bajo)
- nivel alto: 350 lumens
- nivel bajo: 250 lumens
- la luz de emergencia debe ser de color rojo y destellante
- con agarradera multiposición
- debe incorporar base para mantenerla fija sobre una superficie
- baterías recargables
- cargador
- fabricada en material resistente a los impactos.</t>
  </si>
  <si>
    <t>A-02-02-01-004-008-02 10 INSTRUMENTOS Y APARATOS DE MEDICIÓN, VERIFICACIÓN, ANÁLISIS, DE NAVEGACIÓN Y PARA OTROS FINES (EXCEPTO INSTRUMENTOS ÓPTICOS); INSTRUMENTOS DE CONTROL DE PROCESOS INDUSTRIALES, SUS PARTES, PIEZAS Y ACCESORIOS $ 1.150.000,00</t>
  </si>
  <si>
    <t>CINTA METRICA 50M</t>
  </si>
  <si>
    <t>Cinta de fibra de vidrio que proporciona fuerza y duración. Cubierta de TPR resistente a impactos. Asa desmontable incluida. Largo: 50 m (164ft). Ancho de la cinta: 14.5 mm. Espesor de la cinta: 0.47 mm</t>
  </si>
  <si>
    <t>FLEXOMETRO</t>
  </si>
  <si>
    <t>Cinta recubierta de Nylon, caja ABS de alto impacto, con recubrimiento ahulado para mejor agarre y resistir impactos, Gancho Tru-Zero para mediciones precisas, punta magnética, Escala en ambos lados de la cinta.</t>
  </si>
  <si>
    <t>JUEGO MANOMETROS R-22</t>
  </si>
  <si>
    <t>se encarga de medir las presiones del refrigerante un sistema de refrigeración, con este juego de manómetros usted podrá medir tanto la presión de succión, como la de descarga, incluye manguera de 5" y 2 Acoples R-22</t>
  </si>
  <si>
    <t>JUEGO MANOMETROS R-410A</t>
  </si>
  <si>
    <t>se encarga de medir las presiones del refrigerante un sistema de refrigeración, con este juego de manómetros usted podrá medir tanto la presión de succión, como la de descarga, incluye manguera de 5" y 2 Acoples R-410ª</t>
  </si>
  <si>
    <t>NIVEL DE MANO</t>
  </si>
  <si>
    <t>alto 2cm, aluminio, ancho 5cm, largo 60,9 cm</t>
  </si>
  <si>
    <t>BANCO DE TRABAJO TUBO REFORZADO PARA DIFERENCIA DE DOS
TONELADAS</t>
  </si>
  <si>
    <t>CIMA</t>
  </si>
  <si>
    <t>PLUSEL</t>
  </si>
  <si>
    <t>ETAA DE COLOMBIA</t>
  </si>
  <si>
    <t>START PAC LI2800QC UNIDAD DE  ARRANQUE DE MOTOR DE LITIO TWIN PAC DE 28,5 V CC</t>
  </si>
  <si>
    <t>LIMPIADOR Y PROBADOR DE UNIDAD DE SERVICIO DE BUJÍAS DE AVIACION</t>
  </si>
  <si>
    <t>PROBADOR DE PRESIÓN DIFERENCIAL ATS PRO CON ORIFICIO MAESTRO</t>
  </si>
  <si>
    <t>MARTILLO  MANGO METALICO</t>
  </si>
  <si>
    <t>MARTILLO  MANGO MADERA</t>
  </si>
  <si>
    <t>MANOMETROS R-22</t>
  </si>
  <si>
    <t>MANOMETROS R-410A</t>
  </si>
  <si>
    <t>CARGADOR DE BATERIAS STAR 330-230V</t>
  </si>
  <si>
    <t>DESCRIPCIÓN</t>
  </si>
  <si>
    <t>Cantidad</t>
  </si>
  <si>
    <t>Vlr. Unitario</t>
  </si>
  <si>
    <t>IVA</t>
  </si>
  <si>
    <t>Valor Unitario con IVA</t>
  </si>
  <si>
    <t>Valor total con IVA</t>
  </si>
  <si>
    <t>(días, meses, etc.)</t>
  </si>
  <si>
    <t xml:space="preserve">ADAPTADOR DE TEST ESTÁTICO DE AERONAVE  </t>
  </si>
  <si>
    <t>CAJA DE ALMACENAMIENTO DE HERRAMIENTAS P/N B0CVVM9CYY</t>
  </si>
  <si>
    <t>START PAC LI2800QC UNIDAD DE ARRANQUE DE MOTOR DE LITIO TWIN PAC DE 28,5 V CC</t>
  </si>
  <si>
    <t xml:space="preserve">VENTILADOR DE TAMBOR </t>
  </si>
  <si>
    <t xml:space="preserve"> LUZ DELGADA LED</t>
  </si>
  <si>
    <t>LUZ DE TALLER RECARGABLE 6 SMD DE ALTO RENDIMIENTO</t>
  </si>
  <si>
    <t xml:space="preserve">ESTACION DE SOLDADURA </t>
  </si>
  <si>
    <t>JUEGO DE TALADRO INALAMBRICO CON BATERIA Y CARGADOR</t>
  </si>
  <si>
    <t>PISTOLA PETROLIZADORA BOQUILLA LARGA DISCOVER 1000 CC</t>
  </si>
  <si>
    <t>PISTOLA DE ENGRASE V20, INALÁMBRICA, MANGUERA DE 40 PULGADAS, 10,000 PSI MÁXIMO, BATERÍA Y CARGADOR INCLUIDOS P/N CMCGG001D1</t>
  </si>
  <si>
    <t xml:space="preserve">REMACHADORA NEUMATICA TIPO PISTOLA </t>
  </si>
  <si>
    <t>LLAVE DE TUBO DE CADENA DE ACERO AL CARBONO RESISTENTE QUE SE ADAPTA A UN DIÁMETRO MÁXIMO DE 12 PULGADAS, LLAVE DE FILTRO DE ACEITE DE CADENA GRANDE AJUSTABLE</t>
  </si>
  <si>
    <t xml:space="preserve">LUZ DE TRABAJO LED </t>
  </si>
  <si>
    <t xml:space="preserve">PULIDORA 1/2 PULGADA ELECTRICA </t>
  </si>
  <si>
    <t xml:space="preserve">DOBLADORA MANUAL DE TUBOS DE 3/8 A 1 PULGADA </t>
  </si>
  <si>
    <t xml:space="preserve">ESCALERA PLEGABLE DE ALUMINIO MULTIUSOS </t>
  </si>
  <si>
    <t xml:space="preserve">ASPIRADORA INALÁMBRICA </t>
  </si>
  <si>
    <t>DESTORNILLADORES ELÉCTRICOS</t>
  </si>
  <si>
    <t xml:space="preserve">JUEGO DE TERRAJAS </t>
  </si>
  <si>
    <t xml:space="preserve">JUEGO DE FRESAS DE CARBURO </t>
  </si>
  <si>
    <t xml:space="preserve">SOPLADORA A BATERIA </t>
  </si>
  <si>
    <t>PRENSA DE BANCO DE  6"</t>
  </si>
  <si>
    <t>CORTADOR DE PLASMA, CUT50 50 AMP 110V/220V CORTADORA DE DOBLE VOLTAJE IGBT</t>
  </si>
  <si>
    <t>ESCALERA CERTIFICADA TIPO TIJERA DIELÉCTRICA EN FIBRA DE VIDRIO DE 12 PASOS / 3,60 M 136 KG T1A</t>
  </si>
  <si>
    <t>ESCALERA MULTIPROPÓSITO 3.53MT 12 PASOS ALUMINIO</t>
  </si>
  <si>
    <t>ESCALERA CERTIFICADA TIPO TIJERA 4 PASOS DE 1,20 METROS EN ALUMINIO TIPO I</t>
  </si>
  <si>
    <t>JUEGO DE DESTORNILLADORES DIELECTRICOS CON TESTER</t>
  </si>
  <si>
    <t>JUEGO DE RACHE DE 3/8 CON COPAS DE 1/4 HASTA 1</t>
  </si>
  <si>
    <t>JUEGO DE ALICATES 3 PIEZAS ALTO VOLTAJE</t>
  </si>
  <si>
    <t>ALICATES</t>
  </si>
  <si>
    <t>JUEGO DE DESTORNILLADORES DE ESTRELLA</t>
  </si>
  <si>
    <t>JUEGO LLAVES BRISTOL 7 PIEZAS</t>
  </si>
  <si>
    <t>MARTILLO DE UÑA</t>
  </si>
  <si>
    <t>KIT TALADRO PERCUTOR INALAMBRICO 1/2-PULG 20V</t>
  </si>
  <si>
    <t>Maquina cotizada en moneda de brasileña</t>
  </si>
  <si>
    <t>JUEGO DE BROCAS 5 PIEZAS PARA MADERA TIPO FORSTNERS 15 A 35 MM</t>
  </si>
  <si>
    <t>AVELLANADORA PARA TALADRO PUNTA BROCA</t>
  </si>
  <si>
    <t>JUEGO DE BROCAS METAL DE 1/4 A 1/16</t>
  </si>
  <si>
    <t>CARRETILLA ANTIPINCHAZO 3.5 TOLVA METÁLICA 65 LITROS</t>
  </si>
  <si>
    <t>BOMBA VACIO DOBLE PROPOSITO INALAMBRICA</t>
  </si>
  <si>
    <t>JUEGO MANOMETROS (R-22)</t>
  </si>
  <si>
    <t>JUEGO MANOMETROS (R-410A)</t>
  </si>
  <si>
    <t>COMPRESOR DE AIRE DE 150 PSI 6 GALONES 1,5 HP</t>
  </si>
  <si>
    <t>DESTORNILLADOR 1/4 HEX 7.2 / 14.4 V DE BATERÍA DESLIZABLE MICROLITHIUM 2.0 AH</t>
  </si>
  <si>
    <t>RADAR-PISTOLA DE PINTAR CON ACCESORIOS.</t>
  </si>
  <si>
    <t>RADAR - EXTRACTOR MANUAL DE 1/2 DESTORNILLADOR DE IMPACTO MULTIUSOS</t>
  </si>
  <si>
    <t>RADAR-DIFERENCIAL INDUSTRIAL 2 TON, TRUPER 16826</t>
  </si>
  <si>
    <t>RADAR - BANCO DE TRABAJO TUBO REFORZADO PARA DIFERENCIAL DE DOS TONELADAS</t>
  </si>
  <si>
    <t>PONCHADORA PARA CONECTORES A COMPRESIÓN DE CABLE COAXIAL RG-59, RG-6 Y RG-11</t>
  </si>
  <si>
    <t>FUENTE DE VOLTAJE MEANWELL 48V 12A</t>
  </si>
  <si>
    <t>MARTILLO DE CARPINTERIA</t>
  </si>
  <si>
    <t>GRAPA PARA CERCA CAJA X 1 KG</t>
  </si>
  <si>
    <t>ALICATE</t>
  </si>
  <si>
    <t>ESCALERA</t>
  </si>
  <si>
    <t>suministro</t>
  </si>
  <si>
    <t>cacom 1</t>
  </si>
  <si>
    <t>Puerto Salgar Cundinamarca</t>
  </si>
  <si>
    <t>TEM</t>
  </si>
  <si>
    <t>UM</t>
  </si>
  <si>
    <t>PRECIO</t>
  </si>
  <si>
    <t xml:space="preserve">IVA </t>
  </si>
  <si>
    <t>PRECIO + IVA</t>
  </si>
  <si>
    <t>UND</t>
  </si>
  <si>
    <t>VALOR TOTAL</t>
  </si>
  <si>
    <t xml:space="preserve">    Carrera 43 No 3C – 06 Barrio Villa Janeth. Cel.: 3105386251    </t>
  </si>
  <si>
    <t xml:space="preserve">    Email:gerencia@diserra.com    </t>
  </si>
  <si>
    <t>ASPIRADORA INALÁMBRICA INDUSTRIAL</t>
  </si>
  <si>
    <t>ESCALERA CERTIFICADA TIPO TIJERA DIELÉCTRICA EN FIBRA DE VIDRIO DE 12 PASOS</t>
  </si>
  <si>
    <t>DESTORNILLADOR 1/4 HEX 7.2 / 14.4 V  DE BATERÍA DESLIZABLE MICROLITHIUM 2.0 AH</t>
  </si>
  <si>
    <t>REMACHADORA NEUMATICA TIPO PISTOLA</t>
  </si>
  <si>
    <t>JUEGO DE RACHE DE 3/8 CON COPAS DE 1/4</t>
  </si>
  <si>
    <t>AVELLANADORA TALADRO PUNTA BROCA</t>
  </si>
  <si>
    <t>EMPRESA CON COTIZACION</t>
  </si>
  <si>
    <t>ITEM</t>
  </si>
  <si>
    <t>DESCRIPCION DEL PRODUCTO</t>
  </si>
  <si>
    <t>NECESIDAD REAL</t>
  </si>
  <si>
    <t>NECESIDAD AUTORIZADA PAA - CPA</t>
  </si>
  <si>
    <t>CODIGO NOC</t>
  </si>
  <si>
    <t xml:space="preserve"> SIN CATALOGAR </t>
  </si>
  <si>
    <t xml:space="preserve"> 5120-00-0576283 </t>
  </si>
  <si>
    <t xml:space="preserve"> 5120-00-2202493 </t>
  </si>
  <si>
    <t xml:space="preserve"> 6830-15-1375513 </t>
  </si>
  <si>
    <t xml:space="preserve"> 5110-00-2363272 </t>
  </si>
  <si>
    <t xml:space="preserve"> 5440-01-0921894 </t>
  </si>
  <si>
    <t xml:space="preserve">   SIN CATALOGAR </t>
  </si>
  <si>
    <t xml:space="preserve"> 4940-00-1813206 </t>
  </si>
  <si>
    <t xml:space="preserve"> 5130-01-4555713 </t>
  </si>
  <si>
    <t xml:space="preserve"> 5130-01-3353653 </t>
  </si>
  <si>
    <t xml:space="preserve">5340-33-1163326 </t>
  </si>
  <si>
    <t xml:space="preserve">3220-01-3438521 </t>
  </si>
  <si>
    <t xml:space="preserve"> 5110-01-3558506 </t>
  </si>
  <si>
    <t xml:space="preserve"> 4920-15-1151468 </t>
  </si>
  <si>
    <t>EXTRACTOR MANUAL DE 1/2  DESTORNILLADOR DE IMPACTO  MULTIUSOS</t>
  </si>
  <si>
    <t>Sierra Sable Reciproca A Bateria 20V. Velocidad 0-2800/Min. Capacidad De Corte: 8 Mm Metal - 115 Mm Madera. INCLUYE BATERIA Capacidad: Capacidad de corte: Metal: 8mm; Madera: 115mm Encendido: Gatillo velocidad variable</t>
  </si>
  <si>
    <t>DESTORNILLADOR DE IMPACTO MANUAL DE 1/2" CON PUNTAS DESMONTABLES.
● HECHO DE MATERIAL DE ALEACIÓN DE ACERO DE ALTA CALIDAD, ALTA DUREZA, RESISTENTE AL DESGASTE Y DURADERO PARA UN USO PROLONGADO.
● CON DOS MODOS DE AFLOJAR Y APRETAR, PRESIONAR PARA GIRAR, FÁCIL DE CAMBIAR. L Y R.
● CON UNA CAJA DE ALMACENAMIENTO PORTÁTIL, FÁCIL DE TRANSPORTAR Y ALMACENAR. 
● DESTORNILLADOR DE IMPACTO REVERSIBLE 
● JUEGO DE 30 PIEZAS: 28 PUNTAS DESMONTABLES, 1 ADAPTADOR DE 8 MM, 1 DESTORNILLADOR DE IMPACTO.</t>
  </si>
  <si>
    <t xml:space="preserve"> MATERIAL: PLÁSTICO
AISLACIÓN: SI
MATERIAL: METAL/PLÁSTICO
TIPO DE ALICATE: MULTIUSO
TIPO: ALICATE
CARACTERÍSTICAS: ACERO DE CROMO VANADIO, MANGOS DE AGARRE SUAVE TOTALMENTE AISLADAS PARA TRABAJO PESADO
LARGO: 3 CM
USO DE HERRAMIENTAS: BÁSICO</t>
  </si>
  <si>
    <t xml:space="preserve"> CUERPO LARGO X ANCHO : 100MM X 85MM
TAMAÑO : 6 IN
CANTIDAD DE PAQUETES POR CAJA : 1
PESO CORPORAL : 24.00 CM
ALTURA MÁXIMA DE PRENSADO : 105 MM
EMBALAJE : BOXED
PESO (SAP) : 29.000 KG
FUERZA DE PRENSADO : 3000 KG
PESO (CATÁLOGO) : 29.9 KG
ÁNGULO DE ROTACIÓN DE CHASIS : 360 °
PESO (G) : 29000.00 G
PAÍS DE ORIGEN : CHINA
CANAL DE DISTRIBUCIÓN : 30
UNIDADES DE MEDIDA : BX;BOX;1|CP;CASE PACK;1|CV;CASE;1|EA;EACH;1|PAL;PALLET;21|PC;PIECE;1|UN;UNIT;1
UNIDAD BÁSICA DE MEDIDA : PC</t>
  </si>
  <si>
    <t>A-02-01-01-004-004-02 10 MÁQUINAS HERRAMIENTAS Y SUS PARTES, PIEZAS Y ACCESORIOS $ 108.864.405</t>
  </si>
  <si>
    <t>VALORES TOTALIZADOS</t>
  </si>
  <si>
    <t>A-02-01-01-004-003-02 10 BOMBAS, COMPRESORES, MOTORES DE FUERZA HIDRÁULICA Y MOTORES DE POTENCIA NEUMÁTICA Y VÁLVULAS Y SUS PARTES Y PIEZAS $ 6.527.150,00</t>
  </si>
  <si>
    <t>A-02-01-01-004-003-05 10 EQUIPO DE ELEVACIÓN Y MANIPULACIÓN Y SUS PARTES Y PIEZAS $ 7.378.000,00</t>
  </si>
  <si>
    <t>A-02-01-01-004-004-02 10 MÁQUINAS HERRAMIENTAS Y SUS PARTES, PIEZAS Y ACCESORIOS $ 49.985.950,00</t>
  </si>
  <si>
    <t>A-02-01-01-004-008-02 10 INSTRUMENTOS Y APARATOS DE MEDICIÓN, VERIFICACIÓN, ANÁLISIS, DE NAVEGACIÓN Y PARA OTROS FINES (EXCEPTO INSTRUMENTOS ÓPTICOS); INSTRUMENTOS DE CONTROL DE PROCESOS INDUSTRIALES, SUS PARTES, PIEZAS Y ACCESORIOS $ 18.135.574,00</t>
  </si>
  <si>
    <t>A-02-01-01-004-003-02 10 BOMBAS, COMPRESORES, MOTORES DE FUERZA HIDRÁULICA Y MOTORES DE POTENCIA NEUMÁTICA Y VÁLVULAS Y SUS PARTES Y PIEZAS $ 4.569.494,00</t>
  </si>
  <si>
    <t>A-02-01-01-004-003-05 10 EQUIPO DE ELEVACIÓN Y MANIPULACIÓN Y SUS PARTES Y PIEZAS $ 3.930.506,00</t>
  </si>
  <si>
    <t>A-02-01-01-004-004-02 10 MÁQUINAS HERRAMIENTAS Y SUS PARTES, PIEZAS Y ACCESORIOS $ 56.132.615,00</t>
  </si>
  <si>
    <t>A-02-01-01-004-008-02 10 INSTRUMENTOS Y APARATOS DE MEDICIÓN, VERIFICACIÓN, ANÁLISIS, DE NAVEGACIÓN Y PARA OTROS FINES (EXCEPTO INSTRUMENTOS ÓPTICOS); INSTRUMENTOS DE CONTROL DE PROCESOS INDUSTRIALES, SUS PARTES, PIEZAS Y ACCESORIOS $ 1.730.000,00</t>
  </si>
  <si>
    <t>A-02-02-01-004-003-02 10 BOMBAS, COMPRESORES, MOTORES DE FUERZA HIDRÁULICA Y MOTORES DE POTENCIA NEUMÁTICA Y VÁLVULAS Y SUS PARTES Y PIEZAS $ 100.000,00</t>
  </si>
  <si>
    <t>EMPRESA CON COTIZACION
PROMEDIO</t>
  </si>
  <si>
    <t xml:space="preserve">MEDIANA </t>
  </si>
  <si>
    <t>MEDIA GEOMETRICA</t>
  </si>
  <si>
    <t>JUEGO DE MANOMETROS R-22</t>
  </si>
  <si>
    <t>JUEGO DE MANOMETROS R-410A</t>
  </si>
  <si>
    <t>A-02-01-01-004-006-09 10 OTRO EQUIPO ELÉCTRICO Y SUS PARTES Y PIEZAS $ 49.000.000</t>
  </si>
  <si>
    <t>A-02-01-01-004-006-05 10 LÁMPARAS ELÉCTRICAS DE INCANDESCENCIA O DESCARGA; LÁMPARAS DE ARCO, EQUIPO PARA ALUMBRADO ELÉCTRICO; SUS PARTES Y PIEZAS $ 11.374.900</t>
  </si>
  <si>
    <t>A-02-02-01-004-003-02 10 BOMBAS, COMPRESORES, MOTORES DE FUERZA HIDRÁULICA Y MOTORES DE POTENCIA NEUMÁTICA Y VÁLVULAS Y SUS PARTES Y PIEZAS 1,088,125.00</t>
  </si>
  <si>
    <t>Fabricada en Hierro Colado Resistente
La Estructura de Acero Nodular Proporciona fuerza de sujeción de alta resistencia para uso con seguridad
Las Mordazas dentadas reemplazables proporcionan un agarre firme
Yunque con amplia área de trabajo para moldear piezas
Placa de Base Mecanizada para un giro suave con orificios para asegurar el posicionamiento en el banco de trabajo
Excelente Fuerza de Sujeción
Estructura cuadrada en el tornillo sinfín para mayor resistencia en el ajuste, mayor seguridad y durabilidad
Base giratoria 360° para mayor versatilidad
Mordazas rectas estriadas y mordazas triangulares para sujeción de piezas circulares, que ofrecen un mejor agarre</t>
  </si>
  <si>
    <t>JUEGO DE FRESAS PARA ROUTER 12PZS 1/4 Incluye: 3 piezas rectas: 6 mm, 12 mm, 16 mm. 1 pieza 1/2'' 90° V-estraida. 1 pieza 1/2'' encaje. 1 pieza 32 mm 45° chaflán. 1 pieza 1/2'' broca de corte al ras. 2 piezas brocas redondas: 1/4'', 3/8''. 1 pieza 1/4'' broca core box. 1 pieza 1/4'' broca Core. 1 pieza Romana Ogee R-4.Cantidad x Empaque: 12 piezas
•Diámetro: 1/4" (6mm)
•Material: Metal
•Peso: 0.45kg</t>
  </si>
  <si>
    <t>VALOR UNITARIO CPA</t>
  </si>
  <si>
    <t>VALOR TOTAL CPA</t>
  </si>
  <si>
    <t>EMPRESA CON COTIZACION PROMEDIO</t>
  </si>
  <si>
    <t>PRECIO DE REFERENCIA ANTES DE IVA</t>
  </si>
  <si>
    <t>A-02-02-01-004-002 10 PRODUCTOS METÁLICOS ELABORADOS (EXCEPTO MAQUINARIA Y EQUIPO)  $ 4.070.313,00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</si>
</sst>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6">
    <numFmt numFmtId="44" formatCode="_-&quot;$&quot;\ * #,##0.00_-;\-&quot;$&quot;\ * #,##0.00_-;_-&quot;$&quot;\ * &quot;-&quot;??_-;_-@_-"/>
    <numFmt numFmtId="43" formatCode="_-* #,##0.00_-;\-* #,##0.00_-;_-* &quot;-&quot;??_-;_-@_-"/>
    <numFmt numFmtId="164" formatCode="_-&quot;$&quot;\ * #,##0_-;\-&quot;$&quot;\ * #,##0_-;_-&quot;$&quot;\ * &quot;-&quot;??_-;_-@_-"/>
    <numFmt numFmtId="165" formatCode="_(&quot;$&quot;* #,##0.00_);_(&quot;$&quot;* \(#,##0.00\);_(&quot;$&quot;* &quot;-&quot;??_);_(@_)"/>
    <numFmt numFmtId="166" formatCode="_(&quot;$&quot;* #,##0_);_(&quot;$&quot;* \(#,##0\);_(&quot;$&quot;* &quot;-&quot;??_);_(@_)"/>
    <numFmt numFmtId="167" formatCode="&quot;$&quot;\ #,##0.00"/>
  </numFmts>
  <fonts count="22" x14ac:knownFonts="1">
    <font>
      <sz val="10"/>
      <color theme="1"/>
      <name val="Arial"/>
      <family val="2"/>
    </font>
    <font>
      <sz val="11"/>
      <color theme="1"/>
      <name val="Calibri"/>
      <family val="2"/>
      <scheme val="minor"/>
    </font>
    <font>
      <sz val="10"/>
      <color theme="1"/>
      <name val="Arial"/>
      <family val="2"/>
    </font>
    <font>
      <b/>
      <sz val="6"/>
      <color theme="1"/>
      <name val="Arial"/>
      <family val="2"/>
    </font>
    <font>
      <sz val="9"/>
      <color theme="1"/>
      <name val="Arial"/>
      <family val="2"/>
    </font>
    <font>
      <sz val="6"/>
      <color theme="1"/>
      <name val="Arial"/>
      <family val="2"/>
    </font>
    <font>
      <sz val="8"/>
      <color theme="1"/>
      <name val="Arial"/>
      <family val="2"/>
    </font>
    <font>
      <sz val="6"/>
      <color rgb="FF000000"/>
      <name val="Arial"/>
      <family val="2"/>
    </font>
    <font>
      <sz val="6"/>
      <color rgb="FFFF0000"/>
      <name val="Arial"/>
      <family val="2"/>
    </font>
    <font>
      <sz val="9"/>
      <color rgb="FF000000"/>
      <name val="Arial"/>
      <family val="2"/>
    </font>
    <font>
      <b/>
      <sz val="11"/>
      <color theme="1"/>
      <name val="Calibri"/>
      <family val="2"/>
      <scheme val="minor"/>
    </font>
    <font>
      <b/>
      <sz val="8"/>
      <color rgb="FF000000"/>
      <name val="Arial"/>
      <family val="2"/>
    </font>
    <font>
      <sz val="8"/>
      <color rgb="FF000000"/>
      <name val="Arial"/>
      <family val="2"/>
    </font>
    <font>
      <sz val="10"/>
      <color theme="1"/>
      <name val="Calibri"/>
      <family val="2"/>
    </font>
    <font>
      <b/>
      <sz val="11"/>
      <color rgb="FF000000"/>
      <name val="Calibri"/>
      <family val="2"/>
      <scheme val="minor"/>
    </font>
    <font>
      <b/>
      <sz val="10"/>
      <color theme="1"/>
      <name val="Calibri"/>
      <family val="2"/>
      <scheme val="minor"/>
    </font>
    <font>
      <sz val="11"/>
      <color theme="1"/>
      <name val="Arial Narrow"/>
      <family val="2"/>
    </font>
    <font>
      <b/>
      <sz val="9"/>
      <color rgb="FF000000"/>
      <name val="Arial"/>
      <family val="2"/>
    </font>
    <font>
      <b/>
      <sz val="10"/>
      <color rgb="FF000000"/>
      <name val="Arial"/>
      <family val="2"/>
    </font>
    <font>
      <b/>
      <sz val="6"/>
      <name val="Arial"/>
      <family val="2"/>
    </font>
    <font>
      <sz val="6"/>
      <name val="Arial"/>
      <family val="2"/>
    </font>
    <font>
      <sz val="11"/>
      <color theme="1"/>
      <name val="Calibri"/>
      <family val="2"/>
    </font>
  </fonts>
  <fills count="29">
    <fill>
      <patternFill patternType="none"/>
    </fill>
    <fill>
      <patternFill patternType="gray125"/>
    </fill>
    <fill>
      <patternFill patternType="solid">
        <fgColor theme="0" tint="-0.249977111117893"/>
        <bgColor indexed="64"/>
      </patternFill>
    </fill>
    <fill>
      <patternFill patternType="solid">
        <fgColor theme="9" tint="0.39997558519241921"/>
        <bgColor theme="0" tint="-0.14999847407452621"/>
      </patternFill>
    </fill>
    <fill>
      <patternFill patternType="solid">
        <fgColor theme="9" tint="0.59999389629810485"/>
        <bgColor indexed="64"/>
      </patternFill>
    </fill>
    <fill>
      <patternFill patternType="solid">
        <fgColor theme="5" tint="0.39997558519241921"/>
        <bgColor indexed="64"/>
      </patternFill>
    </fill>
    <fill>
      <patternFill patternType="solid">
        <fgColor theme="4"/>
        <bgColor indexed="64"/>
      </patternFill>
    </fill>
    <fill>
      <patternFill patternType="solid">
        <fgColor theme="7" tint="0.79998168889431442"/>
        <bgColor indexed="64"/>
      </patternFill>
    </fill>
    <fill>
      <patternFill patternType="solid">
        <fgColor rgb="FFCCECFF"/>
        <bgColor indexed="64"/>
      </patternFill>
    </fill>
    <fill>
      <patternFill patternType="solid">
        <fgColor rgb="FFFFFF00"/>
        <bgColor indexed="64"/>
      </patternFill>
    </fill>
    <fill>
      <patternFill patternType="solid">
        <fgColor theme="7" tint="0.59999389629810485"/>
        <bgColor indexed="64"/>
      </patternFill>
    </fill>
    <fill>
      <patternFill patternType="solid">
        <fgColor rgb="FFFF0000"/>
        <bgColor indexed="64"/>
      </patternFill>
    </fill>
    <fill>
      <patternFill patternType="solid">
        <fgColor theme="0"/>
        <bgColor indexed="64"/>
      </patternFill>
    </fill>
    <fill>
      <patternFill patternType="solid">
        <fgColor rgb="FFFFC000"/>
        <bgColor indexed="64"/>
      </patternFill>
    </fill>
    <fill>
      <patternFill patternType="solid">
        <fgColor theme="6" tint="0.39997558519241921"/>
        <bgColor indexed="64"/>
      </patternFill>
    </fill>
    <fill>
      <patternFill patternType="solid">
        <fgColor theme="7" tint="0.39997558519241921"/>
        <bgColor indexed="64"/>
      </patternFill>
    </fill>
    <fill>
      <patternFill patternType="solid">
        <fgColor theme="7"/>
        <bgColor indexed="64"/>
      </patternFill>
    </fill>
    <fill>
      <patternFill patternType="solid">
        <fgColor theme="8" tint="0.59999389629810485"/>
        <bgColor indexed="64"/>
      </patternFill>
    </fill>
    <fill>
      <patternFill patternType="solid">
        <fgColor theme="8" tint="0.79998168889431442"/>
        <bgColor indexed="64"/>
      </patternFill>
    </fill>
    <fill>
      <patternFill patternType="solid">
        <fgColor theme="8"/>
        <bgColor indexed="64"/>
      </patternFill>
    </fill>
    <fill>
      <patternFill patternType="solid">
        <fgColor rgb="FFFFFFFF"/>
        <bgColor indexed="64"/>
      </patternFill>
    </fill>
    <fill>
      <patternFill patternType="solid">
        <fgColor rgb="FFD9E2F3"/>
        <bgColor rgb="FFD9E2F3"/>
      </patternFill>
    </fill>
    <fill>
      <patternFill patternType="solid">
        <fgColor theme="1"/>
        <bgColor indexed="64"/>
      </patternFill>
    </fill>
    <fill>
      <patternFill patternType="solid">
        <fgColor theme="2" tint="-0.249977111117893"/>
        <bgColor indexed="64"/>
      </patternFill>
    </fill>
    <fill>
      <patternFill patternType="solid">
        <fgColor theme="9" tint="0.39997558519241921"/>
        <bgColor indexed="64"/>
      </patternFill>
    </fill>
    <fill>
      <patternFill patternType="solid">
        <fgColor theme="0" tint="-0.499984740745262"/>
        <bgColor indexed="64"/>
      </patternFill>
    </fill>
    <fill>
      <patternFill patternType="solid">
        <fgColor rgb="FF0070C0"/>
        <bgColor indexed="64"/>
      </patternFill>
    </fill>
    <fill>
      <patternFill patternType="solid">
        <fgColor theme="9"/>
        <bgColor indexed="64"/>
      </patternFill>
    </fill>
    <fill>
      <patternFill patternType="solid">
        <fgColor theme="0" tint="-0.499984740745262"/>
        <bgColor theme="0" tint="-0.14999847407452621"/>
      </patternFill>
    </fill>
  </fills>
  <borders count="26">
    <border>
      <left/>
      <right/>
      <top/>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medium">
        <color indexed="64"/>
      </left>
      <right style="medium">
        <color indexed="64"/>
      </right>
      <top style="medium">
        <color indexed="64"/>
      </top>
      <bottom/>
      <diagonal/>
    </border>
    <border>
      <left/>
      <right style="medium">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right style="medium">
        <color rgb="FF000000"/>
      </right>
      <top/>
      <bottom style="medium">
        <color rgb="FF000000"/>
      </bottom>
      <diagonal/>
    </border>
    <border>
      <left/>
      <right style="medium">
        <color rgb="FF000000"/>
      </right>
      <top/>
      <bottom/>
      <diagonal/>
    </border>
    <border>
      <left/>
      <right style="medium">
        <color indexed="64"/>
      </right>
      <top/>
      <bottom/>
      <diagonal/>
    </border>
    <border>
      <left/>
      <right style="medium">
        <color rgb="FF000000"/>
      </right>
      <top style="medium">
        <color rgb="FF000000"/>
      </top>
      <bottom style="medium">
        <color rgb="FF000000"/>
      </bottom>
      <diagonal/>
    </border>
    <border>
      <left style="medium">
        <color indexed="64"/>
      </left>
      <right/>
      <top/>
      <bottom style="medium">
        <color indexed="64"/>
      </bottom>
      <diagonal/>
    </border>
    <border>
      <left/>
      <right style="medium">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bottom/>
      <diagonal/>
    </border>
    <border>
      <left/>
      <right style="medium">
        <color rgb="FF000000"/>
      </right>
      <top style="medium">
        <color rgb="FF000000"/>
      </top>
      <bottom/>
      <diagonal/>
    </border>
    <border>
      <left style="medium">
        <color indexed="64"/>
      </left>
      <right style="medium">
        <color indexed="64"/>
      </right>
      <top style="medium">
        <color indexed="64"/>
      </top>
      <bottom style="medium">
        <color indexed="64"/>
      </bottom>
      <diagonal/>
    </border>
    <border>
      <left style="thin">
        <color auto="1"/>
      </left>
      <right/>
      <top style="thin">
        <color auto="1"/>
      </top>
      <bottom/>
      <diagonal/>
    </border>
    <border>
      <left style="thin">
        <color auto="1"/>
      </left>
      <right/>
      <top/>
      <bottom style="thin">
        <color auto="1"/>
      </bottom>
      <diagonal/>
    </border>
    <border>
      <left/>
      <right style="thin">
        <color auto="1"/>
      </right>
      <top/>
      <bottom/>
      <diagonal/>
    </border>
    <border>
      <left/>
      <right style="thin">
        <color auto="1"/>
      </right>
      <top/>
      <bottom style="thin">
        <color auto="1"/>
      </bottom>
      <diagonal/>
    </border>
    <border>
      <left/>
      <right style="thin">
        <color auto="1"/>
      </right>
      <top style="thin">
        <color auto="1"/>
      </top>
      <bottom/>
      <diagonal/>
    </border>
  </borders>
  <cellStyleXfs count="6">
    <xf numFmtId="0" fontId="0" fillId="0" borderId="0"/>
    <xf numFmtId="43" fontId="2" fillId="0" borderId="0" applyFont="0" applyFill="0" applyBorder="0" applyAlignment="0" applyProtection="0"/>
    <xf numFmtId="44" fontId="2" fillId="0" borderId="0" applyFont="0" applyFill="0" applyBorder="0" applyAlignment="0" applyProtection="0"/>
    <xf numFmtId="0" fontId="1" fillId="0" borderId="0"/>
    <xf numFmtId="43" fontId="1" fillId="0" borderId="0" applyFont="0" applyFill="0" applyBorder="0" applyAlignment="0" applyProtection="0"/>
    <xf numFmtId="165" fontId="1" fillId="0" borderId="0" applyFont="0" applyFill="0" applyBorder="0" applyAlignment="0" applyProtection="0"/>
  </cellStyleXfs>
  <cellXfs count="329">
    <xf numFmtId="0" fontId="0" fillId="0" borderId="0" xfId="0"/>
    <xf numFmtId="44" fontId="3" fillId="2" borderId="0" xfId="2" applyFont="1" applyFill="1" applyBorder="1" applyAlignment="1">
      <alignment horizontal="center" vertical="center"/>
    </xf>
    <xf numFmtId="44" fontId="4" fillId="0" borderId="0" xfId="2" applyFont="1" applyBorder="1"/>
    <xf numFmtId="0" fontId="4" fillId="0" borderId="0" xfId="0" applyFont="1"/>
    <xf numFmtId="44" fontId="3" fillId="2" borderId="1" xfId="2" applyFont="1" applyFill="1" applyBorder="1" applyAlignment="1">
      <alignment horizontal="center" vertical="center"/>
    </xf>
    <xf numFmtId="44" fontId="3" fillId="2" borderId="0" xfId="2" applyFont="1" applyFill="1" applyBorder="1" applyAlignment="1">
      <alignment horizontal="right" vertical="center"/>
    </xf>
    <xf numFmtId="0" fontId="3" fillId="3" borderId="4" xfId="0" applyFont="1" applyFill="1" applyBorder="1" applyAlignment="1">
      <alignment horizontal="center" vertical="center" wrapText="1"/>
    </xf>
    <xf numFmtId="44" fontId="3" fillId="3" borderId="4" xfId="2" applyFont="1" applyFill="1" applyBorder="1" applyAlignment="1">
      <alignment horizontal="center" vertical="center" wrapText="1"/>
    </xf>
    <xf numFmtId="44" fontId="3" fillId="4" borderId="1" xfId="2" applyFont="1" applyFill="1" applyBorder="1" applyAlignment="1">
      <alignment horizontal="right" vertical="center" wrapText="1"/>
    </xf>
    <xf numFmtId="44" fontId="3" fillId="5" borderId="1" xfId="2" applyFont="1" applyFill="1" applyBorder="1" applyAlignment="1">
      <alignment horizontal="right" vertical="center" wrapText="1"/>
    </xf>
    <xf numFmtId="0" fontId="5" fillId="6" borderId="1" xfId="0" applyFont="1" applyFill="1" applyBorder="1" applyAlignment="1">
      <alignment horizontal="center" vertical="center"/>
    </xf>
    <xf numFmtId="0" fontId="5" fillId="6" borderId="1" xfId="0" applyFont="1" applyFill="1" applyBorder="1" applyAlignment="1">
      <alignment horizontal="left" vertical="center" wrapText="1"/>
    </xf>
    <xf numFmtId="0" fontId="6" fillId="6" borderId="1" xfId="0" applyFont="1" applyFill="1" applyBorder="1" applyAlignment="1">
      <alignment horizontal="left" vertical="center" wrapText="1"/>
    </xf>
    <xf numFmtId="0" fontId="5" fillId="6" borderId="1" xfId="0" applyFont="1" applyFill="1" applyBorder="1" applyAlignment="1">
      <alignment horizontal="center" vertical="center" wrapText="1"/>
    </xf>
    <xf numFmtId="44" fontId="5" fillId="6" borderId="1" xfId="2" applyFont="1" applyFill="1" applyBorder="1" applyAlignment="1">
      <alignment horizontal="center" vertical="center"/>
    </xf>
    <xf numFmtId="44" fontId="5" fillId="6" borderId="1" xfId="2" applyFont="1" applyFill="1" applyBorder="1" applyAlignment="1">
      <alignment horizontal="right" vertical="center"/>
    </xf>
    <xf numFmtId="44" fontId="5" fillId="6" borderId="1" xfId="2" applyFont="1" applyFill="1" applyBorder="1" applyAlignment="1">
      <alignment horizontal="right" vertical="center" wrapText="1"/>
    </xf>
    <xf numFmtId="44" fontId="7" fillId="6" borderId="1" xfId="2" applyFont="1" applyFill="1" applyBorder="1" applyAlignment="1">
      <alignment horizontal="right" vertical="center" shrinkToFit="1"/>
    </xf>
    <xf numFmtId="44" fontId="4" fillId="6" borderId="0" xfId="2" applyFont="1" applyFill="1" applyBorder="1"/>
    <xf numFmtId="0" fontId="4" fillId="6" borderId="0" xfId="0" applyFont="1" applyFill="1"/>
    <xf numFmtId="0" fontId="5" fillId="0" borderId="1" xfId="0" applyFont="1" applyBorder="1" applyAlignment="1">
      <alignment horizontal="center" vertical="center"/>
    </xf>
    <xf numFmtId="0" fontId="5" fillId="0" borderId="1" xfId="0" applyFont="1" applyBorder="1" applyAlignment="1">
      <alignment horizontal="left" vertical="center" wrapText="1"/>
    </xf>
    <xf numFmtId="0" fontId="4" fillId="0" borderId="1" xfId="0" applyFont="1" applyBorder="1" applyAlignment="1">
      <alignment horizontal="left" vertical="center" wrapText="1"/>
    </xf>
    <xf numFmtId="0" fontId="5" fillId="0" borderId="1" xfId="0" applyFont="1" applyBorder="1" applyAlignment="1">
      <alignment horizontal="center" vertical="center" wrapText="1"/>
    </xf>
    <xf numFmtId="44" fontId="5" fillId="0" borderId="1" xfId="2" applyFont="1" applyFill="1" applyBorder="1" applyAlignment="1">
      <alignment horizontal="center" vertical="center"/>
    </xf>
    <xf numFmtId="44" fontId="5" fillId="7" borderId="1" xfId="2" applyFont="1" applyFill="1" applyBorder="1" applyAlignment="1">
      <alignment horizontal="right" vertical="center"/>
    </xf>
    <xf numFmtId="44" fontId="5" fillId="0" borderId="1" xfId="2" applyFont="1" applyFill="1" applyBorder="1" applyAlignment="1">
      <alignment horizontal="right" vertical="center" wrapText="1"/>
    </xf>
    <xf numFmtId="44" fontId="7" fillId="0" borderId="1" xfId="2" applyFont="1" applyFill="1" applyBorder="1" applyAlignment="1">
      <alignment horizontal="right" vertical="center" shrinkToFit="1"/>
    </xf>
    <xf numFmtId="44" fontId="5" fillId="0" borderId="1" xfId="2" applyFont="1" applyFill="1" applyBorder="1" applyAlignment="1">
      <alignment horizontal="right" vertical="center"/>
    </xf>
    <xf numFmtId="44" fontId="5" fillId="8" borderId="1" xfId="2" applyFont="1" applyFill="1" applyBorder="1" applyAlignment="1">
      <alignment horizontal="right" vertical="center"/>
    </xf>
    <xf numFmtId="44" fontId="4" fillId="0" borderId="0" xfId="2" applyFont="1" applyFill="1" applyBorder="1"/>
    <xf numFmtId="0" fontId="6" fillId="0" borderId="1" xfId="0" applyFont="1" applyBorder="1" applyAlignment="1">
      <alignment horizontal="left" vertical="center" wrapText="1"/>
    </xf>
    <xf numFmtId="0" fontId="5" fillId="9" borderId="1" xfId="0" applyFont="1" applyFill="1" applyBorder="1" applyAlignment="1">
      <alignment horizontal="center" vertical="center"/>
    </xf>
    <xf numFmtId="0" fontId="5" fillId="9" borderId="1" xfId="0" applyFont="1" applyFill="1" applyBorder="1" applyAlignment="1">
      <alignment horizontal="left" vertical="center" wrapText="1"/>
    </xf>
    <xf numFmtId="0" fontId="4" fillId="9" borderId="1" xfId="0" applyFont="1" applyFill="1" applyBorder="1" applyAlignment="1">
      <alignment horizontal="left" vertical="center" wrapText="1"/>
    </xf>
    <xf numFmtId="0" fontId="5" fillId="9" borderId="1" xfId="0" applyFont="1" applyFill="1" applyBorder="1" applyAlignment="1">
      <alignment horizontal="center" vertical="center" wrapText="1"/>
    </xf>
    <xf numFmtId="44" fontId="5" fillId="9" borderId="1" xfId="2" applyFont="1" applyFill="1" applyBorder="1" applyAlignment="1">
      <alignment horizontal="center" vertical="center"/>
    </xf>
    <xf numFmtId="44" fontId="5" fillId="9" borderId="1" xfId="2" applyFont="1" applyFill="1" applyBorder="1" applyAlignment="1">
      <alignment horizontal="right" vertical="center"/>
    </xf>
    <xf numFmtId="44" fontId="5" fillId="9" borderId="1" xfId="2" applyFont="1" applyFill="1" applyBorder="1" applyAlignment="1">
      <alignment horizontal="right" vertical="center" wrapText="1"/>
    </xf>
    <xf numFmtId="44" fontId="7" fillId="9" borderId="1" xfId="2" applyFont="1" applyFill="1" applyBorder="1" applyAlignment="1">
      <alignment horizontal="right" vertical="center" shrinkToFit="1"/>
    </xf>
    <xf numFmtId="44" fontId="4" fillId="9" borderId="0" xfId="2" applyFont="1" applyFill="1" applyBorder="1"/>
    <xf numFmtId="0" fontId="4" fillId="9" borderId="0" xfId="0" applyFont="1" applyFill="1"/>
    <xf numFmtId="0" fontId="5" fillId="10" borderId="1" xfId="0" applyFont="1" applyFill="1" applyBorder="1" applyAlignment="1">
      <alignment horizontal="center" vertical="center"/>
    </xf>
    <xf numFmtId="0" fontId="5" fillId="10" borderId="1" xfId="0" applyFont="1" applyFill="1" applyBorder="1" applyAlignment="1">
      <alignment horizontal="left" vertical="center" wrapText="1"/>
    </xf>
    <xf numFmtId="0" fontId="4" fillId="10" borderId="1" xfId="0" applyFont="1" applyFill="1" applyBorder="1" applyAlignment="1">
      <alignment horizontal="left" vertical="center" wrapText="1"/>
    </xf>
    <xf numFmtId="0" fontId="5" fillId="10" borderId="1" xfId="0" applyFont="1" applyFill="1" applyBorder="1" applyAlignment="1">
      <alignment horizontal="center" vertical="center" wrapText="1"/>
    </xf>
    <xf numFmtId="44" fontId="5" fillId="10" borderId="1" xfId="2" applyFont="1" applyFill="1" applyBorder="1" applyAlignment="1">
      <alignment horizontal="center" vertical="center"/>
    </xf>
    <xf numFmtId="44" fontId="5" fillId="10" borderId="1" xfId="2" applyFont="1" applyFill="1" applyBorder="1" applyAlignment="1">
      <alignment horizontal="right" vertical="center"/>
    </xf>
    <xf numFmtId="44" fontId="7" fillId="10" borderId="1" xfId="2" applyFont="1" applyFill="1" applyBorder="1" applyAlignment="1">
      <alignment horizontal="right" vertical="center" shrinkToFit="1"/>
    </xf>
    <xf numFmtId="44" fontId="4" fillId="10" borderId="0" xfId="2" applyFont="1" applyFill="1" applyBorder="1"/>
    <xf numFmtId="0" fontId="4" fillId="10" borderId="0" xfId="0" applyFont="1" applyFill="1"/>
    <xf numFmtId="0" fontId="0" fillId="0" borderId="0" xfId="0" applyAlignment="1">
      <alignment wrapText="1"/>
    </xf>
    <xf numFmtId="0" fontId="5" fillId="11" borderId="1" xfId="0" applyFont="1" applyFill="1" applyBorder="1" applyAlignment="1">
      <alignment horizontal="center" vertical="center"/>
    </xf>
    <xf numFmtId="0" fontId="5" fillId="12" borderId="1" xfId="0" applyFont="1" applyFill="1" applyBorder="1" applyAlignment="1">
      <alignment horizontal="left" vertical="center" wrapText="1"/>
    </xf>
    <xf numFmtId="0" fontId="4" fillId="12" borderId="1" xfId="0" applyFont="1" applyFill="1" applyBorder="1" applyAlignment="1">
      <alignment horizontal="left" vertical="center" wrapText="1"/>
    </xf>
    <xf numFmtId="0" fontId="5" fillId="12" borderId="1" xfId="0" applyFont="1" applyFill="1" applyBorder="1" applyAlignment="1">
      <alignment horizontal="center" vertical="center" wrapText="1"/>
    </xf>
    <xf numFmtId="0" fontId="5" fillId="12" borderId="1" xfId="0" applyFont="1" applyFill="1" applyBorder="1" applyAlignment="1">
      <alignment horizontal="center" vertical="center"/>
    </xf>
    <xf numFmtId="44" fontId="5" fillId="12" borderId="1" xfId="2" applyFont="1" applyFill="1" applyBorder="1" applyAlignment="1">
      <alignment horizontal="center" vertical="center"/>
    </xf>
    <xf numFmtId="44" fontId="5" fillId="12" borderId="1" xfId="2" applyFont="1" applyFill="1" applyBorder="1" applyAlignment="1">
      <alignment horizontal="right" vertical="center"/>
    </xf>
    <xf numFmtId="44" fontId="5" fillId="12" borderId="1" xfId="2" applyFont="1" applyFill="1" applyBorder="1" applyAlignment="1">
      <alignment horizontal="right" vertical="center" wrapText="1"/>
    </xf>
    <xf numFmtId="44" fontId="7" fillId="12" borderId="1" xfId="2" applyFont="1" applyFill="1" applyBorder="1" applyAlignment="1">
      <alignment horizontal="right" vertical="center" shrinkToFit="1"/>
    </xf>
    <xf numFmtId="44" fontId="4" fillId="12" borderId="0" xfId="2" applyFont="1" applyFill="1" applyBorder="1"/>
    <xf numFmtId="0" fontId="4" fillId="12" borderId="0" xfId="0" applyFont="1" applyFill="1"/>
    <xf numFmtId="0" fontId="0" fillId="10" borderId="1" xfId="0" applyFill="1" applyBorder="1" applyAlignment="1">
      <alignment horizontal="left" vertical="center" wrapText="1"/>
    </xf>
    <xf numFmtId="0" fontId="9" fillId="9" borderId="1" xfId="0" applyFont="1" applyFill="1" applyBorder="1" applyAlignment="1">
      <alignment vertical="top" wrapText="1"/>
    </xf>
    <xf numFmtId="44" fontId="9" fillId="0" borderId="1" xfId="2" applyFont="1" applyFill="1" applyBorder="1" applyAlignment="1">
      <alignment horizontal="center" vertical="center" wrapText="1"/>
    </xf>
    <xf numFmtId="44" fontId="3" fillId="13" borderId="1" xfId="2" applyFont="1" applyFill="1" applyBorder="1" applyAlignment="1">
      <alignment horizontal="right" vertical="center" wrapText="1"/>
    </xf>
    <xf numFmtId="44" fontId="3" fillId="14" borderId="1" xfId="2" applyFont="1" applyFill="1" applyBorder="1" applyAlignment="1">
      <alignment horizontal="right" vertical="center" wrapText="1"/>
    </xf>
    <xf numFmtId="0" fontId="5" fillId="15" borderId="1" xfId="0" applyFont="1" applyFill="1" applyBorder="1" applyAlignment="1">
      <alignment horizontal="center" vertical="center"/>
    </xf>
    <xf numFmtId="0" fontId="5" fillId="15" borderId="1" xfId="0" applyFont="1" applyFill="1" applyBorder="1" applyAlignment="1">
      <alignment horizontal="left" vertical="center" wrapText="1"/>
    </xf>
    <xf numFmtId="0" fontId="5" fillId="15" borderId="1" xfId="0" applyFont="1" applyFill="1" applyBorder="1" applyAlignment="1">
      <alignment horizontal="center" vertical="center" wrapText="1"/>
    </xf>
    <xf numFmtId="44" fontId="5" fillId="15" borderId="1" xfId="2" applyFont="1" applyFill="1" applyBorder="1" applyAlignment="1">
      <alignment horizontal="right" vertical="center"/>
    </xf>
    <xf numFmtId="44" fontId="5" fillId="15" borderId="1" xfId="2" applyFont="1" applyFill="1" applyBorder="1" applyAlignment="1">
      <alignment horizontal="right" vertical="center" wrapText="1"/>
    </xf>
    <xf numFmtId="44" fontId="7" fillId="15" borderId="1" xfId="2" applyFont="1" applyFill="1" applyBorder="1" applyAlignment="1">
      <alignment horizontal="right" vertical="center" shrinkToFit="1"/>
    </xf>
    <xf numFmtId="44" fontId="5" fillId="15" borderId="1" xfId="2" applyFont="1" applyFill="1" applyBorder="1" applyAlignment="1">
      <alignment horizontal="center" vertical="center"/>
    </xf>
    <xf numFmtId="44" fontId="4" fillId="15" borderId="0" xfId="2" applyFont="1" applyFill="1" applyBorder="1"/>
    <xf numFmtId="0" fontId="4" fillId="15" borderId="0" xfId="0" applyFont="1" applyFill="1"/>
    <xf numFmtId="44" fontId="5" fillId="8" borderId="1" xfId="2" applyFont="1" applyFill="1" applyBorder="1" applyAlignment="1">
      <alignment horizontal="center" vertical="center"/>
    </xf>
    <xf numFmtId="0" fontId="4" fillId="0" borderId="0" xfId="0" applyFont="1" applyAlignment="1">
      <alignment horizontal="center" vertical="center"/>
    </xf>
    <xf numFmtId="0" fontId="5" fillId="12" borderId="0" xfId="0" applyFont="1" applyFill="1" applyAlignment="1">
      <alignment horizontal="center" vertical="center"/>
    </xf>
    <xf numFmtId="44" fontId="5" fillId="12" borderId="0" xfId="2" applyFont="1" applyFill="1" applyBorder="1" applyAlignment="1">
      <alignment horizontal="center" vertical="center"/>
    </xf>
    <xf numFmtId="44" fontId="3" fillId="12" borderId="0" xfId="2" applyFont="1" applyFill="1" applyBorder="1" applyAlignment="1">
      <alignment horizontal="right" vertical="center"/>
    </xf>
    <xf numFmtId="43" fontId="3" fillId="12" borderId="0" xfId="1" applyFont="1" applyFill="1" applyBorder="1" applyAlignment="1">
      <alignment horizontal="right" vertical="center"/>
    </xf>
    <xf numFmtId="0" fontId="4" fillId="0" borderId="0" xfId="0" applyFont="1" applyAlignment="1">
      <alignment horizontal="center"/>
    </xf>
    <xf numFmtId="44" fontId="4" fillId="0" borderId="0" xfId="2" applyFont="1" applyBorder="1" applyAlignment="1">
      <alignment horizontal="center"/>
    </xf>
    <xf numFmtId="44" fontId="4" fillId="0" borderId="0" xfId="2" applyFont="1" applyBorder="1" applyAlignment="1">
      <alignment horizontal="right"/>
    </xf>
    <xf numFmtId="0" fontId="1" fillId="0" borderId="0" xfId="3"/>
    <xf numFmtId="0" fontId="11" fillId="20" borderId="8" xfId="3" applyFont="1" applyFill="1" applyBorder="1" applyAlignment="1">
      <alignment horizontal="center" vertical="center" wrapText="1"/>
    </xf>
    <xf numFmtId="0" fontId="11" fillId="20" borderId="10" xfId="3" applyFont="1" applyFill="1" applyBorder="1" applyAlignment="1">
      <alignment horizontal="center" vertical="center" wrapText="1"/>
    </xf>
    <xf numFmtId="0" fontId="12" fillId="0" borderId="9" xfId="3" applyFont="1" applyBorder="1" applyAlignment="1">
      <alignment horizontal="center" vertical="center"/>
    </xf>
    <xf numFmtId="0" fontId="12" fillId="0" borderId="10" xfId="3" applyFont="1" applyBorder="1" applyAlignment="1">
      <alignment vertical="center"/>
    </xf>
    <xf numFmtId="164" fontId="12" fillId="0" borderId="10" xfId="3" applyNumberFormat="1" applyFont="1" applyBorder="1" applyAlignment="1">
      <alignment vertical="center"/>
    </xf>
    <xf numFmtId="164" fontId="12" fillId="0" borderId="10" xfId="3" applyNumberFormat="1" applyFont="1" applyBorder="1" applyAlignment="1">
      <alignment horizontal="center" vertical="center"/>
    </xf>
    <xf numFmtId="0" fontId="12" fillId="12" borderId="10" xfId="3" applyFont="1" applyFill="1" applyBorder="1" applyAlignment="1">
      <alignment vertical="center"/>
    </xf>
    <xf numFmtId="0" fontId="12" fillId="12" borderId="10" xfId="3" applyFont="1" applyFill="1" applyBorder="1" applyAlignment="1">
      <alignment vertical="center" wrapText="1"/>
    </xf>
    <xf numFmtId="0" fontId="12" fillId="0" borderId="10" xfId="3" applyFont="1" applyBorder="1" applyAlignment="1">
      <alignment vertical="center" wrapText="1"/>
    </xf>
    <xf numFmtId="0" fontId="13" fillId="0" borderId="11" xfId="3" applyFont="1" applyBorder="1" applyAlignment="1">
      <alignment horizontal="left" vertical="center" wrapText="1"/>
    </xf>
    <xf numFmtId="0" fontId="13" fillId="0" borderId="12" xfId="3" applyFont="1" applyBorder="1" applyAlignment="1">
      <alignment horizontal="left" vertical="center" wrapText="1"/>
    </xf>
    <xf numFmtId="164" fontId="12" fillId="0" borderId="13" xfId="3" applyNumberFormat="1" applyFont="1" applyBorder="1" applyAlignment="1">
      <alignment vertical="center"/>
    </xf>
    <xf numFmtId="0" fontId="13" fillId="0" borderId="14" xfId="3" applyFont="1" applyBorder="1" applyAlignment="1">
      <alignment horizontal="left" vertical="center" wrapText="1"/>
    </xf>
    <xf numFmtId="0" fontId="12" fillId="0" borderId="15" xfId="3" applyFont="1" applyBorder="1" applyAlignment="1">
      <alignment horizontal="center" vertical="center"/>
    </xf>
    <xf numFmtId="0" fontId="13" fillId="0" borderId="1" xfId="3" applyFont="1" applyBorder="1" applyAlignment="1">
      <alignment horizontal="left" vertical="center" wrapText="1"/>
    </xf>
    <xf numFmtId="0" fontId="13" fillId="0" borderId="0" xfId="3" applyFont="1" applyAlignment="1">
      <alignment horizontal="left" vertical="center" wrapText="1"/>
    </xf>
    <xf numFmtId="0" fontId="11" fillId="21" borderId="1" xfId="3" applyFont="1" applyFill="1" applyBorder="1" applyAlignment="1">
      <alignment horizontal="center" vertical="center" wrapText="1"/>
    </xf>
    <xf numFmtId="0" fontId="14" fillId="22" borderId="16" xfId="3" applyFont="1" applyFill="1" applyBorder="1" applyAlignment="1">
      <alignment horizontal="center" vertical="center" wrapText="1"/>
    </xf>
    <xf numFmtId="43" fontId="15" fillId="23" borderId="0" xfId="4" applyFont="1" applyFill="1" applyAlignment="1">
      <alignment horizontal="center" vertical="center" wrapText="1"/>
    </xf>
    <xf numFmtId="43" fontId="14" fillId="22" borderId="17" xfId="4" applyFont="1" applyFill="1" applyBorder="1" applyAlignment="1">
      <alignment horizontal="center" vertical="center" wrapText="1"/>
    </xf>
    <xf numFmtId="0" fontId="1" fillId="0" borderId="0" xfId="3" applyAlignment="1">
      <alignment wrapText="1"/>
    </xf>
    <xf numFmtId="0" fontId="16" fillId="0" borderId="1" xfId="3" applyFont="1" applyBorder="1" applyAlignment="1">
      <alignment horizontal="center" vertical="center" wrapText="1"/>
    </xf>
    <xf numFmtId="0" fontId="1" fillId="0" borderId="1" xfId="3" applyBorder="1" applyAlignment="1">
      <alignment wrapText="1"/>
    </xf>
    <xf numFmtId="0" fontId="1" fillId="0" borderId="1" xfId="3" applyBorder="1" applyAlignment="1">
      <alignment horizontal="center" wrapText="1"/>
    </xf>
    <xf numFmtId="0" fontId="1" fillId="22" borderId="0" xfId="3" applyFill="1" applyAlignment="1">
      <alignment wrapText="1"/>
    </xf>
    <xf numFmtId="43" fontId="0" fillId="0" borderId="0" xfId="4" applyFont="1" applyAlignment="1">
      <alignment wrapText="1"/>
    </xf>
    <xf numFmtId="43" fontId="0" fillId="22" borderId="0" xfId="4" applyFont="1" applyFill="1" applyAlignment="1">
      <alignment wrapText="1"/>
    </xf>
    <xf numFmtId="0" fontId="1" fillId="0" borderId="1" xfId="3" applyBorder="1" applyAlignment="1">
      <alignment vertical="top" wrapText="1"/>
    </xf>
    <xf numFmtId="166" fontId="0" fillId="0" borderId="0" xfId="5" applyNumberFormat="1" applyFont="1"/>
    <xf numFmtId="166" fontId="12" fillId="0" borderId="10" xfId="5" applyNumberFormat="1" applyFont="1" applyBorder="1" applyAlignment="1">
      <alignment vertical="center"/>
    </xf>
    <xf numFmtId="166" fontId="12" fillId="0" borderId="10" xfId="5" applyNumberFormat="1" applyFont="1" applyBorder="1" applyAlignment="1">
      <alignment horizontal="center" vertical="center"/>
    </xf>
    <xf numFmtId="0" fontId="12" fillId="0" borderId="18" xfId="3" applyFont="1" applyBorder="1" applyAlignment="1">
      <alignment horizontal="center" vertical="center"/>
    </xf>
    <xf numFmtId="0" fontId="13" fillId="0" borderId="19" xfId="3" applyFont="1" applyBorder="1" applyAlignment="1">
      <alignment horizontal="left" vertical="center" wrapText="1"/>
    </xf>
    <xf numFmtId="0" fontId="12" fillId="0" borderId="13" xfId="3" applyFont="1" applyBorder="1" applyAlignment="1">
      <alignment vertical="center"/>
    </xf>
    <xf numFmtId="166" fontId="12" fillId="0" borderId="13" xfId="5" applyNumberFormat="1" applyFont="1" applyBorder="1" applyAlignment="1">
      <alignment vertical="center"/>
    </xf>
    <xf numFmtId="166" fontId="12" fillId="0" borderId="13" xfId="5" applyNumberFormat="1" applyFont="1" applyBorder="1" applyAlignment="1">
      <alignment horizontal="center" vertical="center"/>
    </xf>
    <xf numFmtId="166" fontId="0" fillId="0" borderId="1" xfId="5" applyNumberFormat="1" applyFont="1" applyBorder="1"/>
    <xf numFmtId="0" fontId="10" fillId="0" borderId="0" xfId="3" applyFont="1" applyAlignment="1">
      <alignment horizontal="center"/>
    </xf>
    <xf numFmtId="166" fontId="10" fillId="0" borderId="0" xfId="5" applyNumberFormat="1" applyFont="1" applyAlignment="1">
      <alignment horizontal="center"/>
    </xf>
    <xf numFmtId="164" fontId="1" fillId="0" borderId="0" xfId="3" applyNumberFormat="1"/>
    <xf numFmtId="0" fontId="0" fillId="12" borderId="0" xfId="0" applyFill="1" applyAlignment="1">
      <alignment horizontal="center" vertical="center"/>
    </xf>
    <xf numFmtId="0" fontId="17" fillId="0" borderId="20" xfId="0" applyFont="1" applyBorder="1" applyAlignment="1">
      <alignment horizontal="center" vertical="center"/>
    </xf>
    <xf numFmtId="0" fontId="17" fillId="0" borderId="16" xfId="0" applyFont="1" applyBorder="1" applyAlignment="1">
      <alignment horizontal="center" vertical="center"/>
    </xf>
    <xf numFmtId="0" fontId="9" fillId="0" borderId="9" xfId="0" applyFont="1" applyBorder="1" applyAlignment="1">
      <alignment horizontal="center" vertical="center"/>
    </xf>
    <xf numFmtId="0" fontId="9" fillId="0" borderId="10" xfId="0" applyFont="1" applyBorder="1" applyAlignment="1">
      <alignment horizontal="center" vertical="center"/>
    </xf>
    <xf numFmtId="0" fontId="18" fillId="0" borderId="20" xfId="0" applyFont="1" applyBorder="1" applyAlignment="1">
      <alignment horizontal="center" vertical="center"/>
    </xf>
    <xf numFmtId="0" fontId="18" fillId="0" borderId="16" xfId="0" applyFont="1" applyBorder="1" applyAlignment="1">
      <alignment horizontal="center" vertical="center"/>
    </xf>
    <xf numFmtId="0" fontId="12" fillId="0" borderId="10" xfId="0" applyFont="1" applyBorder="1" applyAlignment="1">
      <alignment horizontal="center" vertical="center" wrapText="1"/>
    </xf>
    <xf numFmtId="44" fontId="20" fillId="0" borderId="1" xfId="2" applyFont="1" applyFill="1" applyBorder="1" applyAlignment="1">
      <alignment horizontal="center" vertical="center"/>
    </xf>
    <xf numFmtId="44" fontId="19" fillId="12" borderId="0" xfId="2" applyFont="1" applyFill="1" applyBorder="1" applyAlignment="1">
      <alignment horizontal="right" vertical="center"/>
    </xf>
    <xf numFmtId="0" fontId="20" fillId="0" borderId="0" xfId="0" applyFont="1"/>
    <xf numFmtId="0" fontId="20" fillId="12" borderId="0" xfId="0" applyFont="1" applyFill="1"/>
    <xf numFmtId="0" fontId="20" fillId="0" borderId="0" xfId="0" applyFont="1" applyAlignment="1">
      <alignment horizontal="center"/>
    </xf>
    <xf numFmtId="44" fontId="20" fillId="0" borderId="0" xfId="2" applyFont="1" applyBorder="1" applyAlignment="1">
      <alignment horizontal="center"/>
    </xf>
    <xf numFmtId="44" fontId="20" fillId="0" borderId="0" xfId="2" applyFont="1" applyBorder="1" applyAlignment="1">
      <alignment horizontal="right"/>
    </xf>
    <xf numFmtId="44" fontId="20" fillId="0" borderId="1" xfId="2" applyFont="1" applyBorder="1"/>
    <xf numFmtId="44" fontId="19" fillId="4" borderId="1" xfId="2" applyNumberFormat="1" applyFont="1" applyFill="1" applyBorder="1" applyAlignment="1">
      <alignment horizontal="right" vertical="center" wrapText="1"/>
    </xf>
    <xf numFmtId="44" fontId="19" fillId="4" borderId="2" xfId="2" applyNumberFormat="1" applyFont="1" applyFill="1" applyBorder="1" applyAlignment="1">
      <alignment horizontal="right" vertical="center" wrapText="1"/>
    </xf>
    <xf numFmtId="44" fontId="20" fillId="0" borderId="1" xfId="2" applyNumberFormat="1" applyFont="1" applyBorder="1"/>
    <xf numFmtId="44" fontId="19" fillId="4" borderId="4" xfId="2" applyNumberFormat="1" applyFont="1" applyFill="1" applyBorder="1" applyAlignment="1">
      <alignment horizontal="right" vertical="center" wrapText="1"/>
    </xf>
    <xf numFmtId="44" fontId="20" fillId="12" borderId="1" xfId="2" applyNumberFormat="1" applyFont="1" applyFill="1" applyBorder="1" applyAlignment="1">
      <alignment horizontal="center" vertical="center"/>
    </xf>
    <xf numFmtId="44" fontId="20" fillId="12" borderId="1" xfId="2" applyNumberFormat="1" applyFont="1" applyFill="1" applyBorder="1" applyAlignment="1">
      <alignment horizontal="left" vertical="center" wrapText="1"/>
    </xf>
    <xf numFmtId="44" fontId="20" fillId="12" borderId="1" xfId="2" applyNumberFormat="1" applyFont="1" applyFill="1" applyBorder="1" applyAlignment="1">
      <alignment horizontal="center" vertical="center" wrapText="1"/>
    </xf>
    <xf numFmtId="44" fontId="20" fillId="13" borderId="1" xfId="2" applyNumberFormat="1" applyFont="1" applyFill="1" applyBorder="1" applyAlignment="1">
      <alignment horizontal="right" vertical="center"/>
    </xf>
    <xf numFmtId="44" fontId="20" fillId="12" borderId="1" xfId="2" applyNumberFormat="1" applyFont="1" applyFill="1" applyBorder="1" applyAlignment="1">
      <alignment horizontal="right" vertical="center" wrapText="1"/>
    </xf>
    <xf numFmtId="44" fontId="20" fillId="11" borderId="1" xfId="2" applyNumberFormat="1" applyFont="1" applyFill="1" applyBorder="1" applyAlignment="1">
      <alignment horizontal="right" vertical="center" shrinkToFit="1"/>
    </xf>
    <xf numFmtId="44" fontId="20" fillId="11" borderId="1" xfId="2" applyNumberFormat="1" applyFont="1" applyFill="1" applyBorder="1" applyAlignment="1">
      <alignment horizontal="right" vertical="center"/>
    </xf>
    <xf numFmtId="44" fontId="20" fillId="11" borderId="1" xfId="2" applyNumberFormat="1" applyFont="1" applyFill="1" applyBorder="1" applyAlignment="1">
      <alignment horizontal="right" vertical="center" wrapText="1"/>
    </xf>
    <xf numFmtId="44" fontId="20" fillId="12" borderId="1" xfId="2" applyNumberFormat="1" applyFont="1" applyFill="1" applyBorder="1" applyAlignment="1">
      <alignment horizontal="right" vertical="center" shrinkToFit="1"/>
    </xf>
    <xf numFmtId="44" fontId="20" fillId="12" borderId="1" xfId="2" applyNumberFormat="1" applyFont="1" applyFill="1" applyBorder="1" applyAlignment="1">
      <alignment horizontal="right" vertical="center"/>
    </xf>
    <xf numFmtId="44" fontId="20" fillId="12" borderId="2" xfId="2" applyNumberFormat="1" applyFont="1" applyFill="1" applyBorder="1" applyAlignment="1">
      <alignment horizontal="center" vertical="center"/>
    </xf>
    <xf numFmtId="44" fontId="20" fillId="18" borderId="1" xfId="2" applyNumberFormat="1" applyFont="1" applyFill="1" applyBorder="1" applyAlignment="1">
      <alignment horizontal="center" vertical="center" wrapText="1"/>
    </xf>
    <xf numFmtId="44" fontId="20" fillId="12" borderId="4" xfId="2" applyNumberFormat="1" applyFont="1" applyFill="1" applyBorder="1" applyAlignment="1">
      <alignment horizontal="right" vertical="center"/>
    </xf>
    <xf numFmtId="44" fontId="20" fillId="0" borderId="1" xfId="2" applyNumberFormat="1" applyFont="1" applyBorder="1" applyAlignment="1">
      <alignment horizontal="center" vertical="center"/>
    </xf>
    <xf numFmtId="44" fontId="20" fillId="0" borderId="1" xfId="2" applyNumberFormat="1" applyFont="1" applyBorder="1" applyAlignment="1">
      <alignment horizontal="left" vertical="center" wrapText="1"/>
    </xf>
    <xf numFmtId="44" fontId="20" fillId="0" borderId="1" xfId="2" applyNumberFormat="1" applyFont="1" applyBorder="1" applyAlignment="1">
      <alignment horizontal="center" vertical="center" wrapText="1"/>
    </xf>
    <xf numFmtId="44" fontId="20" fillId="0" borderId="1" xfId="2" applyNumberFormat="1" applyFont="1" applyFill="1" applyBorder="1" applyAlignment="1">
      <alignment horizontal="center" vertical="center"/>
    </xf>
    <xf numFmtId="44" fontId="20" fillId="19" borderId="1" xfId="2" applyNumberFormat="1" applyFont="1" applyFill="1" applyBorder="1" applyAlignment="1">
      <alignment horizontal="right" vertical="center"/>
    </xf>
    <xf numFmtId="44" fontId="20" fillId="0" borderId="1" xfId="2" applyNumberFormat="1" applyFont="1" applyFill="1" applyBorder="1" applyAlignment="1">
      <alignment horizontal="right" vertical="center" wrapText="1"/>
    </xf>
    <xf numFmtId="44" fontId="20" fillId="0" borderId="1" xfId="2" applyNumberFormat="1" applyFont="1" applyFill="1" applyBorder="1" applyAlignment="1">
      <alignment horizontal="right" vertical="center" shrinkToFit="1"/>
    </xf>
    <xf numFmtId="44" fontId="20" fillId="0" borderId="1" xfId="2" applyNumberFormat="1" applyFont="1" applyFill="1" applyBorder="1" applyAlignment="1">
      <alignment horizontal="right" vertical="center"/>
    </xf>
    <xf numFmtId="44" fontId="20" fillId="18" borderId="1" xfId="2" applyNumberFormat="1" applyFont="1" applyFill="1" applyBorder="1" applyAlignment="1">
      <alignment horizontal="right" vertical="center"/>
    </xf>
    <xf numFmtId="44" fontId="20" fillId="0" borderId="2" xfId="2" applyNumberFormat="1" applyFont="1" applyFill="1" applyBorder="1" applyAlignment="1">
      <alignment horizontal="center" vertical="center"/>
    </xf>
    <xf numFmtId="44" fontId="20" fillId="0" borderId="1" xfId="2" applyNumberFormat="1" applyFont="1" applyFill="1" applyBorder="1"/>
    <xf numFmtId="44" fontId="20" fillId="0" borderId="4" xfId="2" applyNumberFormat="1" applyFont="1" applyFill="1" applyBorder="1" applyAlignment="1">
      <alignment horizontal="right" vertical="center"/>
    </xf>
    <xf numFmtId="44" fontId="20" fillId="18" borderId="1" xfId="2" applyNumberFormat="1" applyFont="1" applyFill="1" applyBorder="1" applyAlignment="1">
      <alignment horizontal="center" vertical="center"/>
    </xf>
    <xf numFmtId="44" fontId="20" fillId="18" borderId="1" xfId="2" applyNumberFormat="1" applyFont="1" applyFill="1" applyBorder="1"/>
    <xf numFmtId="44" fontId="20" fillId="12" borderId="1" xfId="2" applyNumberFormat="1" applyFont="1" applyFill="1" applyBorder="1"/>
    <xf numFmtId="44" fontId="20" fillId="0" borderId="0" xfId="2" applyNumberFormat="1" applyFont="1" applyAlignment="1">
      <alignment wrapText="1"/>
    </xf>
    <xf numFmtId="44" fontId="20" fillId="16" borderId="1" xfId="2" applyNumberFormat="1" applyFont="1" applyFill="1" applyBorder="1" applyAlignment="1">
      <alignment horizontal="right" vertical="center"/>
    </xf>
    <xf numFmtId="44" fontId="20" fillId="17" borderId="1" xfId="2" applyNumberFormat="1" applyFont="1" applyFill="1" applyBorder="1" applyAlignment="1">
      <alignment horizontal="right" vertical="center"/>
    </xf>
    <xf numFmtId="44" fontId="20" fillId="12" borderId="1" xfId="2" applyNumberFormat="1" applyFont="1" applyFill="1" applyBorder="1" applyAlignment="1">
      <alignment vertical="top" wrapText="1"/>
    </xf>
    <xf numFmtId="44" fontId="20" fillId="18" borderId="2" xfId="2" applyNumberFormat="1" applyFont="1" applyFill="1" applyBorder="1" applyAlignment="1">
      <alignment horizontal="center" vertical="center"/>
    </xf>
    <xf numFmtId="44" fontId="19" fillId="4" borderId="23" xfId="2" applyNumberFormat="1" applyFont="1" applyFill="1" applyBorder="1" applyAlignment="1">
      <alignment horizontal="right" vertical="center" wrapText="1"/>
    </xf>
    <xf numFmtId="44" fontId="20" fillId="18" borderId="1" xfId="2" applyNumberFormat="1" applyFont="1" applyFill="1" applyBorder="1" applyAlignment="1">
      <alignment vertical="center"/>
    </xf>
    <xf numFmtId="44" fontId="19" fillId="4" borderId="24" xfId="2" applyNumberFormat="1" applyFont="1" applyFill="1" applyBorder="1" applyAlignment="1">
      <alignment horizontal="right" vertical="center" wrapText="1"/>
    </xf>
    <xf numFmtId="44" fontId="20" fillId="0" borderId="10" xfId="2" applyNumberFormat="1" applyFont="1" applyBorder="1" applyAlignment="1">
      <alignment vertical="center"/>
    </xf>
    <xf numFmtId="44" fontId="20" fillId="19" borderId="1" xfId="2" applyNumberFormat="1" applyFont="1" applyFill="1" applyBorder="1" applyAlignment="1">
      <alignment horizontal="right" vertical="center" shrinkToFit="1"/>
    </xf>
    <xf numFmtId="44" fontId="19" fillId="11" borderId="1" xfId="2" applyNumberFormat="1" applyFont="1" applyFill="1" applyBorder="1" applyAlignment="1">
      <alignment horizontal="right" vertical="center" wrapText="1"/>
    </xf>
    <xf numFmtId="44" fontId="20" fillId="6" borderId="1" xfId="2" applyNumberFormat="1" applyFont="1" applyFill="1" applyBorder="1" applyAlignment="1">
      <alignment horizontal="right" vertical="center"/>
    </xf>
    <xf numFmtId="44" fontId="20" fillId="18" borderId="5" xfId="2" applyNumberFormat="1" applyFont="1" applyFill="1" applyBorder="1" applyAlignment="1">
      <alignment horizontal="right" vertical="center"/>
    </xf>
    <xf numFmtId="44" fontId="20" fillId="0" borderId="5" xfId="2" applyNumberFormat="1" applyFont="1" applyFill="1" applyBorder="1" applyAlignment="1">
      <alignment horizontal="right" vertical="center"/>
    </xf>
    <xf numFmtId="44" fontId="20" fillId="0" borderId="5" xfId="2" applyNumberFormat="1" applyFont="1" applyFill="1" applyBorder="1" applyAlignment="1">
      <alignment horizontal="center" vertical="center"/>
    </xf>
    <xf numFmtId="44" fontId="20" fillId="0" borderId="21" xfId="2" applyNumberFormat="1" applyFont="1" applyFill="1" applyBorder="1" applyAlignment="1">
      <alignment horizontal="center" vertical="center"/>
    </xf>
    <xf numFmtId="44" fontId="20" fillId="0" borderId="25" xfId="2" applyNumberFormat="1" applyFont="1" applyFill="1" applyBorder="1" applyAlignment="1">
      <alignment horizontal="right" vertical="center"/>
    </xf>
    <xf numFmtId="44" fontId="20" fillId="12" borderId="0" xfId="2" applyNumberFormat="1" applyFont="1" applyFill="1" applyAlignment="1">
      <alignment horizontal="center" vertical="center"/>
    </xf>
    <xf numFmtId="44" fontId="20" fillId="12" borderId="0" xfId="2" applyNumberFormat="1" applyFont="1" applyFill="1" applyBorder="1" applyAlignment="1">
      <alignment horizontal="center" vertical="center"/>
    </xf>
    <xf numFmtId="44" fontId="19" fillId="12" borderId="0" xfId="2" applyNumberFormat="1" applyFont="1" applyFill="1" applyBorder="1" applyAlignment="1">
      <alignment horizontal="right" vertical="center"/>
    </xf>
    <xf numFmtId="44" fontId="19" fillId="12" borderId="1" xfId="2" applyNumberFormat="1" applyFont="1" applyFill="1" applyBorder="1" applyAlignment="1">
      <alignment horizontal="right" vertical="center"/>
    </xf>
    <xf numFmtId="44" fontId="19" fillId="12" borderId="2" xfId="2" applyNumberFormat="1" applyFont="1" applyFill="1" applyBorder="1" applyAlignment="1">
      <alignment horizontal="right" vertical="center"/>
    </xf>
    <xf numFmtId="44" fontId="19" fillId="12" borderId="4" xfId="2" applyNumberFormat="1" applyFont="1" applyFill="1" applyBorder="1" applyAlignment="1">
      <alignment horizontal="right" vertical="center"/>
    </xf>
    <xf numFmtId="1" fontId="20" fillId="12" borderId="1" xfId="2" applyNumberFormat="1" applyFont="1" applyFill="1" applyBorder="1" applyAlignment="1">
      <alignment horizontal="center" vertical="center"/>
    </xf>
    <xf numFmtId="1" fontId="20" fillId="0" borderId="1" xfId="2" applyNumberFormat="1" applyFont="1" applyBorder="1" applyAlignment="1">
      <alignment horizontal="center" vertical="center"/>
    </xf>
    <xf numFmtId="1" fontId="20" fillId="12" borderId="0" xfId="2" applyNumberFormat="1" applyFont="1" applyFill="1" applyAlignment="1">
      <alignment horizontal="center" vertical="center"/>
    </xf>
    <xf numFmtId="1" fontId="20" fillId="0" borderId="0" xfId="0" applyNumberFormat="1" applyFont="1" applyAlignment="1">
      <alignment horizontal="center" vertical="center"/>
    </xf>
    <xf numFmtId="0" fontId="11" fillId="20" borderId="8" xfId="0" applyFont="1" applyFill="1" applyBorder="1" applyAlignment="1">
      <alignment horizontal="center" vertical="center" wrapText="1"/>
    </xf>
    <xf numFmtId="0" fontId="0" fillId="0" borderId="1" xfId="0" applyBorder="1"/>
    <xf numFmtId="0" fontId="11" fillId="20" borderId="13" xfId="0" applyFont="1" applyFill="1" applyBorder="1" applyAlignment="1">
      <alignment horizontal="center" vertical="center" wrapText="1"/>
    </xf>
    <xf numFmtId="49" fontId="20" fillId="12" borderId="1" xfId="2" applyNumberFormat="1" applyFont="1" applyFill="1" applyBorder="1" applyAlignment="1">
      <alignment horizontal="center" vertical="center"/>
    </xf>
    <xf numFmtId="49" fontId="20" fillId="0" borderId="1" xfId="2" applyNumberFormat="1" applyFont="1" applyBorder="1" applyAlignment="1">
      <alignment horizontal="center" vertical="center"/>
    </xf>
    <xf numFmtId="49" fontId="0" fillId="0" borderId="0" xfId="0" applyNumberFormat="1"/>
    <xf numFmtId="1" fontId="20" fillId="25" borderId="1" xfId="2" applyNumberFormat="1" applyFont="1" applyFill="1" applyBorder="1" applyAlignment="1">
      <alignment horizontal="center" vertical="center"/>
    </xf>
    <xf numFmtId="44" fontId="20" fillId="11" borderId="1" xfId="2" applyNumberFormat="1" applyFont="1" applyFill="1" applyBorder="1" applyAlignment="1">
      <alignment horizontal="center" vertical="center" wrapText="1"/>
    </xf>
    <xf numFmtId="44" fontId="20" fillId="11" borderId="1" xfId="2" applyNumberFormat="1" applyFont="1" applyFill="1" applyBorder="1" applyAlignment="1">
      <alignment horizontal="left" vertical="center" wrapText="1"/>
    </xf>
    <xf numFmtId="1" fontId="20" fillId="0" borderId="0" xfId="0" applyNumberFormat="1" applyFont="1" applyAlignment="1">
      <alignment horizontal="center"/>
    </xf>
    <xf numFmtId="44" fontId="20" fillId="19" borderId="1" xfId="2" applyNumberFormat="1" applyFont="1" applyFill="1" applyBorder="1" applyAlignment="1">
      <alignment horizontal="center" vertical="center"/>
    </xf>
    <xf numFmtId="44" fontId="20" fillId="19" borderId="1" xfId="2" applyNumberFormat="1" applyFont="1" applyFill="1" applyBorder="1" applyAlignment="1">
      <alignment horizontal="center" vertical="center" wrapText="1"/>
    </xf>
    <xf numFmtId="44" fontId="20" fillId="6" borderId="1" xfId="2" applyNumberFormat="1" applyFont="1" applyFill="1" applyBorder="1" applyAlignment="1">
      <alignment horizontal="center" vertical="center"/>
    </xf>
    <xf numFmtId="44" fontId="20" fillId="26" borderId="1" xfId="2" applyNumberFormat="1" applyFont="1" applyFill="1" applyBorder="1" applyAlignment="1">
      <alignment horizontal="center" vertical="center"/>
    </xf>
    <xf numFmtId="44" fontId="19" fillId="2" borderId="1" xfId="2" applyNumberFormat="1" applyFont="1" applyFill="1" applyBorder="1" applyAlignment="1">
      <alignment horizontal="center" vertical="center"/>
    </xf>
    <xf numFmtId="44" fontId="19" fillId="2" borderId="1" xfId="2" applyNumberFormat="1" applyFont="1" applyFill="1" applyBorder="1" applyAlignment="1">
      <alignment horizontal="right" vertical="center"/>
    </xf>
    <xf numFmtId="44" fontId="19" fillId="3" borderId="4" xfId="2" applyNumberFormat="1" applyFont="1" applyFill="1" applyBorder="1" applyAlignment="1">
      <alignment horizontal="center" vertical="center" wrapText="1"/>
    </xf>
    <xf numFmtId="0" fontId="9" fillId="0" borderId="15" xfId="0" applyFont="1" applyBorder="1" applyAlignment="1">
      <alignment horizontal="center" vertical="center"/>
    </xf>
    <xf numFmtId="0" fontId="17" fillId="0" borderId="8" xfId="0" applyFont="1" applyBorder="1" applyAlignment="1">
      <alignment horizontal="center" vertical="center"/>
    </xf>
    <xf numFmtId="0" fontId="0" fillId="0" borderId="20" xfId="0" applyBorder="1"/>
    <xf numFmtId="0" fontId="12" fillId="0" borderId="10" xfId="0" applyFont="1" applyBorder="1" applyAlignment="1">
      <alignment horizontal="center" vertical="center"/>
    </xf>
    <xf numFmtId="0" fontId="0" fillId="0" borderId="20" xfId="0" applyBorder="1" applyAlignment="1">
      <alignment horizontal="center" vertical="center"/>
    </xf>
    <xf numFmtId="1" fontId="20" fillId="6" borderId="1" xfId="2" applyNumberFormat="1" applyFont="1" applyFill="1" applyBorder="1" applyAlignment="1">
      <alignment horizontal="center" vertical="center"/>
    </xf>
    <xf numFmtId="44" fontId="20" fillId="27" borderId="1" xfId="2" applyNumberFormat="1" applyFont="1" applyFill="1" applyBorder="1" applyAlignment="1">
      <alignment horizontal="center" vertical="center"/>
    </xf>
    <xf numFmtId="1" fontId="20" fillId="27" borderId="1" xfId="2" applyNumberFormat="1" applyFont="1" applyFill="1" applyBorder="1" applyAlignment="1">
      <alignment horizontal="center" vertical="center"/>
    </xf>
    <xf numFmtId="44" fontId="20" fillId="0" borderId="4" xfId="2" applyFont="1" applyFill="1" applyBorder="1" applyAlignment="1">
      <alignment horizontal="right" vertical="center"/>
    </xf>
    <xf numFmtId="1" fontId="20" fillId="0" borderId="1" xfId="2" applyNumberFormat="1" applyFont="1" applyFill="1" applyBorder="1" applyAlignment="1">
      <alignment horizontal="center" vertical="center"/>
    </xf>
    <xf numFmtId="44" fontId="20" fillId="0" borderId="1" xfId="2" applyNumberFormat="1" applyFont="1" applyFill="1" applyBorder="1" applyAlignment="1">
      <alignment horizontal="center" vertical="center" wrapText="1"/>
    </xf>
    <xf numFmtId="0" fontId="20" fillId="0" borderId="0" xfId="0" applyFont="1" applyFill="1"/>
    <xf numFmtId="43" fontId="19" fillId="0" borderId="0" xfId="1" applyFont="1" applyAlignment="1">
      <alignment vertical="center"/>
    </xf>
    <xf numFmtId="43" fontId="19" fillId="0" borderId="0" xfId="1" applyFont="1" applyFill="1" applyAlignment="1">
      <alignment vertical="center"/>
    </xf>
    <xf numFmtId="43" fontId="19" fillId="12" borderId="0" xfId="1" applyFont="1" applyFill="1" applyAlignment="1">
      <alignment vertical="center"/>
    </xf>
    <xf numFmtId="0" fontId="20" fillId="0" borderId="0" xfId="0" applyFont="1" applyAlignment="1">
      <alignment vertical="center"/>
    </xf>
    <xf numFmtId="44" fontId="20" fillId="12" borderId="0" xfId="0" applyNumberFormat="1" applyFont="1" applyFill="1"/>
    <xf numFmtId="43" fontId="20" fillId="0" borderId="0" xfId="0" applyNumberFormat="1" applyFont="1" applyFill="1"/>
    <xf numFmtId="43" fontId="20" fillId="12" borderId="0" xfId="0" applyNumberFormat="1" applyFont="1" applyFill="1"/>
    <xf numFmtId="167" fontId="19" fillId="2" borderId="1" xfId="2" applyNumberFormat="1" applyFont="1" applyFill="1" applyBorder="1" applyAlignment="1">
      <alignment horizontal="center" vertical="center"/>
    </xf>
    <xf numFmtId="167" fontId="20" fillId="12" borderId="1" xfId="2" applyNumberFormat="1" applyFont="1" applyFill="1" applyBorder="1" applyAlignment="1">
      <alignment horizontal="center" vertical="center"/>
    </xf>
    <xf numFmtId="167" fontId="20" fillId="12" borderId="2" xfId="2" applyNumberFormat="1" applyFont="1" applyFill="1" applyBorder="1" applyAlignment="1">
      <alignment horizontal="center" vertical="center"/>
    </xf>
    <xf numFmtId="167" fontId="20" fillId="18" borderId="1" xfId="2" applyNumberFormat="1" applyFont="1" applyFill="1" applyBorder="1" applyAlignment="1">
      <alignment horizontal="center" vertical="center"/>
    </xf>
    <xf numFmtId="167" fontId="20" fillId="0" borderId="1" xfId="2" applyNumberFormat="1" applyFont="1" applyFill="1" applyBorder="1" applyAlignment="1">
      <alignment horizontal="center" vertical="center"/>
    </xf>
    <xf numFmtId="167" fontId="20" fillId="0" borderId="2" xfId="2" applyNumberFormat="1" applyFont="1" applyFill="1" applyBorder="1" applyAlignment="1">
      <alignment horizontal="center" vertical="center"/>
    </xf>
    <xf numFmtId="167" fontId="20" fillId="0" borderId="0" xfId="2" applyNumberFormat="1" applyFont="1" applyBorder="1" applyAlignment="1">
      <alignment horizontal="center"/>
    </xf>
    <xf numFmtId="167" fontId="20" fillId="0" borderId="0" xfId="2" applyNumberFormat="1" applyFont="1" applyBorder="1" applyAlignment="1">
      <alignment horizontal="right"/>
    </xf>
    <xf numFmtId="167" fontId="20" fillId="0" borderId="6" xfId="2" applyNumberFormat="1" applyFont="1" applyBorder="1"/>
    <xf numFmtId="167" fontId="20" fillId="0" borderId="1" xfId="2" applyNumberFormat="1" applyFont="1" applyBorder="1"/>
    <xf numFmtId="167" fontId="20" fillId="10" borderId="1" xfId="2" applyNumberFormat="1" applyFont="1" applyFill="1" applyBorder="1" applyAlignment="1">
      <alignment horizontal="center" vertical="center"/>
    </xf>
    <xf numFmtId="167" fontId="20" fillId="12" borderId="1" xfId="2" applyNumberFormat="1" applyFont="1" applyFill="1" applyBorder="1" applyAlignment="1">
      <alignment horizontal="center" vertical="center" wrapText="1"/>
    </xf>
    <xf numFmtId="167" fontId="20" fillId="10" borderId="1" xfId="2" applyNumberFormat="1" applyFont="1" applyFill="1" applyBorder="1" applyAlignment="1">
      <alignment horizontal="center" vertical="center" shrinkToFit="1"/>
    </xf>
    <xf numFmtId="167" fontId="20" fillId="0" borderId="1" xfId="2" applyNumberFormat="1" applyFont="1" applyFill="1" applyBorder="1" applyAlignment="1">
      <alignment horizontal="center" vertical="center" wrapText="1"/>
    </xf>
    <xf numFmtId="167" fontId="20" fillId="12" borderId="1" xfId="2" applyNumberFormat="1" applyFont="1" applyFill="1" applyBorder="1" applyAlignment="1">
      <alignment horizontal="center" vertical="center" shrinkToFit="1"/>
    </xf>
    <xf numFmtId="167" fontId="20" fillId="0" borderId="4" xfId="2" applyNumberFormat="1" applyFont="1" applyFill="1" applyBorder="1" applyAlignment="1">
      <alignment horizontal="center" vertical="center"/>
    </xf>
    <xf numFmtId="167" fontId="20" fillId="0" borderId="1" xfId="2" applyNumberFormat="1" applyFont="1" applyFill="1" applyBorder="1" applyAlignment="1">
      <alignment horizontal="center" vertical="center" shrinkToFit="1"/>
    </xf>
    <xf numFmtId="167" fontId="20" fillId="12" borderId="4" xfId="2" applyNumberFormat="1" applyFont="1" applyFill="1" applyBorder="1" applyAlignment="1">
      <alignment horizontal="center" vertical="center"/>
    </xf>
    <xf numFmtId="167" fontId="20" fillId="10" borderId="10" xfId="2" applyNumberFormat="1" applyFont="1" applyFill="1" applyBorder="1" applyAlignment="1">
      <alignment horizontal="center" vertical="center"/>
    </xf>
    <xf numFmtId="167" fontId="19" fillId="12" borderId="1" xfId="2" applyNumberFormat="1" applyFont="1" applyFill="1" applyBorder="1" applyAlignment="1">
      <alignment horizontal="center" vertical="center"/>
    </xf>
    <xf numFmtId="167" fontId="19" fillId="0" borderId="0" xfId="2" applyNumberFormat="1" applyFont="1" applyBorder="1" applyAlignment="1">
      <alignment horizontal="center"/>
    </xf>
    <xf numFmtId="167" fontId="20" fillId="0" borderId="6" xfId="2" applyNumberFormat="1" applyFont="1" applyBorder="1" applyAlignment="1">
      <alignment horizontal="center"/>
    </xf>
    <xf numFmtId="167" fontId="20" fillId="0" borderId="1" xfId="2" applyNumberFormat="1" applyFont="1" applyBorder="1" applyAlignment="1">
      <alignment horizontal="center"/>
    </xf>
    <xf numFmtId="0" fontId="20" fillId="12" borderId="1" xfId="2" applyNumberFormat="1" applyFont="1" applyFill="1" applyBorder="1" applyAlignment="1">
      <alignment horizontal="center" vertical="center" wrapText="1"/>
    </xf>
    <xf numFmtId="0" fontId="20" fillId="0" borderId="1" xfId="2" applyNumberFormat="1" applyFont="1" applyFill="1" applyBorder="1" applyAlignment="1">
      <alignment horizontal="center" vertical="center" wrapText="1"/>
    </xf>
    <xf numFmtId="0" fontId="20" fillId="0" borderId="0" xfId="0" applyNumberFormat="1" applyFont="1" applyAlignment="1">
      <alignment horizontal="center"/>
    </xf>
    <xf numFmtId="44" fontId="19" fillId="28" borderId="4" xfId="2" applyNumberFormat="1" applyFont="1" applyFill="1" applyBorder="1" applyAlignment="1">
      <alignment horizontal="center" vertical="center" wrapText="1"/>
    </xf>
    <xf numFmtId="167" fontId="19" fillId="25" borderId="1" xfId="2" applyNumberFormat="1" applyFont="1" applyFill="1" applyBorder="1" applyAlignment="1">
      <alignment horizontal="center" vertical="center" wrapText="1"/>
    </xf>
    <xf numFmtId="167" fontId="19" fillId="25" borderId="2" xfId="2" applyNumberFormat="1" applyFont="1" applyFill="1" applyBorder="1" applyAlignment="1">
      <alignment horizontal="center" vertical="center" wrapText="1"/>
    </xf>
    <xf numFmtId="167" fontId="19" fillId="25" borderId="4" xfId="2" applyNumberFormat="1" applyFont="1" applyFill="1" applyBorder="1" applyAlignment="1">
      <alignment horizontal="center" vertical="center" wrapText="1"/>
    </xf>
    <xf numFmtId="43" fontId="19" fillId="25" borderId="0" xfId="1" applyFont="1" applyFill="1" applyAlignment="1">
      <alignment vertical="center"/>
    </xf>
    <xf numFmtId="0" fontId="20" fillId="25" borderId="0" xfId="0" applyFont="1" applyFill="1"/>
    <xf numFmtId="44" fontId="20" fillId="25" borderId="0" xfId="2" applyFont="1" applyFill="1"/>
    <xf numFmtId="44" fontId="20" fillId="25" borderId="0" xfId="2" applyFont="1" applyFill="1" applyAlignment="1">
      <alignment horizontal="center" vertical="center"/>
    </xf>
    <xf numFmtId="44" fontId="20" fillId="25" borderId="0" xfId="0" applyNumberFormat="1" applyFont="1" applyFill="1"/>
    <xf numFmtId="167" fontId="20" fillId="12" borderId="5" xfId="2" applyNumberFormat="1" applyFont="1" applyFill="1" applyBorder="1" applyAlignment="1">
      <alignment horizontal="center" vertical="center"/>
    </xf>
    <xf numFmtId="167" fontId="20" fillId="12" borderId="5" xfId="2" applyNumberFormat="1" applyFont="1" applyFill="1" applyBorder="1" applyAlignment="1">
      <alignment horizontal="center" vertical="center" wrapText="1"/>
    </xf>
    <xf numFmtId="167" fontId="20" fillId="12" borderId="5" xfId="2" applyNumberFormat="1" applyFont="1" applyFill="1" applyBorder="1" applyAlignment="1">
      <alignment horizontal="center" vertical="center" shrinkToFit="1"/>
    </xf>
    <xf numFmtId="167" fontId="20" fillId="12" borderId="25" xfId="2" applyNumberFormat="1" applyFont="1" applyFill="1" applyBorder="1" applyAlignment="1">
      <alignment horizontal="center" vertical="center"/>
    </xf>
    <xf numFmtId="44" fontId="20" fillId="12" borderId="1" xfId="2" applyNumberFormat="1" applyFont="1" applyFill="1" applyBorder="1" applyAlignment="1">
      <alignment wrapText="1"/>
    </xf>
    <xf numFmtId="44" fontId="20" fillId="12" borderId="0" xfId="2" applyNumberFormat="1" applyFont="1" applyFill="1" applyBorder="1" applyAlignment="1">
      <alignment horizontal="left" vertical="center" wrapText="1"/>
    </xf>
    <xf numFmtId="44" fontId="20" fillId="12" borderId="0" xfId="2" applyNumberFormat="1" applyFont="1" applyFill="1" applyAlignment="1">
      <alignment wrapText="1"/>
    </xf>
    <xf numFmtId="167" fontId="19" fillId="17" borderId="1" xfId="2" applyNumberFormat="1" applyFont="1" applyFill="1" applyBorder="1" applyAlignment="1">
      <alignment horizontal="center" vertical="center"/>
    </xf>
    <xf numFmtId="167" fontId="20" fillId="17" borderId="1" xfId="2" applyNumberFormat="1" applyFont="1" applyFill="1" applyBorder="1" applyAlignment="1">
      <alignment horizontal="center" vertical="center" wrapText="1"/>
    </xf>
    <xf numFmtId="4" fontId="0" fillId="0" borderId="0" xfId="0" applyNumberFormat="1"/>
    <xf numFmtId="4" fontId="21" fillId="0" borderId="0" xfId="0" applyNumberFormat="1" applyFont="1"/>
    <xf numFmtId="0" fontId="3" fillId="3" borderId="2"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3" fillId="3" borderId="4" xfId="0" applyFont="1" applyFill="1" applyBorder="1" applyAlignment="1">
      <alignment horizontal="center" vertical="center" wrapText="1"/>
    </xf>
    <xf numFmtId="44" fontId="3" fillId="2" borderId="0" xfId="2" applyFont="1" applyFill="1" applyBorder="1" applyAlignment="1">
      <alignment horizontal="right" vertical="center"/>
    </xf>
    <xf numFmtId="44" fontId="3" fillId="2" borderId="0" xfId="2" applyFont="1" applyFill="1" applyBorder="1" applyAlignment="1">
      <alignment horizontal="center" vertical="center"/>
    </xf>
    <xf numFmtId="0" fontId="3" fillId="2" borderId="1" xfId="0" applyFont="1" applyFill="1" applyBorder="1" applyAlignment="1">
      <alignment horizontal="center" vertical="center" wrapText="1"/>
    </xf>
    <xf numFmtId="44" fontId="3" fillId="2" borderId="1" xfId="2" applyFont="1" applyFill="1" applyBorder="1" applyAlignment="1">
      <alignment horizontal="center" vertical="center" wrapText="1"/>
    </xf>
    <xf numFmtId="0" fontId="3" fillId="2" borderId="5" xfId="0" applyFont="1" applyFill="1" applyBorder="1" applyAlignment="1">
      <alignment horizontal="center" vertical="center" wrapText="1"/>
    </xf>
    <xf numFmtId="0" fontId="3" fillId="2" borderId="6" xfId="0" applyFont="1" applyFill="1" applyBorder="1" applyAlignment="1">
      <alignment horizontal="center" vertical="center" wrapText="1"/>
    </xf>
    <xf numFmtId="44" fontId="19" fillId="3" borderId="2" xfId="2" applyNumberFormat="1" applyFont="1" applyFill="1" applyBorder="1" applyAlignment="1">
      <alignment horizontal="center" vertical="center" wrapText="1"/>
    </xf>
    <xf numFmtId="44" fontId="19" fillId="3" borderId="3" xfId="2" applyNumberFormat="1" applyFont="1" applyFill="1" applyBorder="1" applyAlignment="1">
      <alignment horizontal="center" vertical="center" wrapText="1"/>
    </xf>
    <xf numFmtId="44" fontId="19" fillId="3" borderId="4" xfId="2" applyNumberFormat="1" applyFont="1" applyFill="1" applyBorder="1" applyAlignment="1">
      <alignment horizontal="center" vertical="center" wrapText="1"/>
    </xf>
    <xf numFmtId="44" fontId="19" fillId="24" borderId="1" xfId="2" applyNumberFormat="1" applyFont="1" applyFill="1" applyBorder="1" applyAlignment="1">
      <alignment horizontal="center" vertical="center" wrapText="1"/>
    </xf>
    <xf numFmtId="44" fontId="19" fillId="2" borderId="0" xfId="2" applyNumberFormat="1" applyFont="1" applyFill="1" applyBorder="1" applyAlignment="1">
      <alignment horizontal="center" vertical="center"/>
    </xf>
    <xf numFmtId="44" fontId="19" fillId="2" borderId="1" xfId="2" applyNumberFormat="1" applyFont="1" applyFill="1" applyBorder="1" applyAlignment="1">
      <alignment horizontal="center" vertical="center"/>
    </xf>
    <xf numFmtId="44" fontId="19" fillId="2" borderId="1" xfId="2" applyNumberFormat="1" applyFont="1" applyFill="1" applyBorder="1" applyAlignment="1">
      <alignment horizontal="right" vertical="center"/>
    </xf>
    <xf numFmtId="44" fontId="19" fillId="2" borderId="21" xfId="2" applyNumberFormat="1" applyFont="1" applyFill="1" applyBorder="1" applyAlignment="1">
      <alignment horizontal="center" vertical="center" wrapText="1"/>
    </xf>
    <xf numFmtId="44" fontId="19" fillId="2" borderId="22" xfId="2" applyNumberFormat="1" applyFont="1" applyFill="1" applyBorder="1" applyAlignment="1">
      <alignment horizontal="center" vertical="center" wrapText="1"/>
    </xf>
    <xf numFmtId="44" fontId="19" fillId="2" borderId="1" xfId="2" applyNumberFormat="1" applyFont="1" applyFill="1" applyBorder="1" applyAlignment="1">
      <alignment horizontal="center" vertical="center" wrapText="1"/>
    </xf>
    <xf numFmtId="1" fontId="19" fillId="2" borderId="1" xfId="2" applyNumberFormat="1" applyFont="1" applyFill="1" applyBorder="1" applyAlignment="1">
      <alignment horizontal="center" vertical="center" wrapText="1"/>
    </xf>
    <xf numFmtId="44" fontId="19" fillId="28" borderId="2" xfId="2" applyNumberFormat="1" applyFont="1" applyFill="1" applyBorder="1" applyAlignment="1">
      <alignment horizontal="center" vertical="center" wrapText="1"/>
    </xf>
    <xf numFmtId="44" fontId="19" fillId="28" borderId="3" xfId="2" applyNumberFormat="1" applyFont="1" applyFill="1" applyBorder="1" applyAlignment="1">
      <alignment horizontal="center" vertical="center" wrapText="1"/>
    </xf>
    <xf numFmtId="44" fontId="19" fillId="28" borderId="4" xfId="2" applyNumberFormat="1" applyFont="1" applyFill="1" applyBorder="1" applyAlignment="1">
      <alignment horizontal="center" vertical="center" wrapText="1"/>
    </xf>
    <xf numFmtId="1" fontId="19" fillId="12" borderId="1" xfId="2" applyNumberFormat="1" applyFont="1" applyFill="1" applyBorder="1" applyAlignment="1">
      <alignment horizontal="center" vertical="center" wrapText="1"/>
    </xf>
    <xf numFmtId="167" fontId="19" fillId="24" borderId="1" xfId="2" applyNumberFormat="1" applyFont="1" applyFill="1" applyBorder="1" applyAlignment="1">
      <alignment horizontal="center" vertical="center" wrapText="1"/>
    </xf>
    <xf numFmtId="167" fontId="19" fillId="2" borderId="0" xfId="2" applyNumberFormat="1" applyFont="1" applyFill="1" applyBorder="1" applyAlignment="1">
      <alignment horizontal="center" vertical="center" wrapText="1"/>
    </xf>
    <xf numFmtId="167" fontId="19" fillId="2" borderId="1" xfId="2" applyNumberFormat="1" applyFont="1" applyFill="1" applyBorder="1" applyAlignment="1">
      <alignment horizontal="center" vertical="center"/>
    </xf>
    <xf numFmtId="167" fontId="19" fillId="2" borderId="21" xfId="2" applyNumberFormat="1" applyFont="1" applyFill="1" applyBorder="1" applyAlignment="1">
      <alignment horizontal="center" vertical="center" wrapText="1"/>
    </xf>
    <xf numFmtId="167" fontId="19" fillId="2" borderId="22" xfId="2" applyNumberFormat="1" applyFont="1" applyFill="1" applyBorder="1" applyAlignment="1">
      <alignment horizontal="center" vertical="center" wrapText="1"/>
    </xf>
    <xf numFmtId="167" fontId="19" fillId="2" borderId="1" xfId="2" applyNumberFormat="1" applyFont="1" applyFill="1" applyBorder="1" applyAlignment="1">
      <alignment horizontal="center" vertical="center" wrapText="1"/>
    </xf>
    <xf numFmtId="0" fontId="19" fillId="2" borderId="1" xfId="2" applyNumberFormat="1" applyFont="1" applyFill="1" applyBorder="1" applyAlignment="1">
      <alignment horizontal="center" vertical="center" wrapText="1"/>
    </xf>
    <xf numFmtId="0" fontId="1" fillId="0" borderId="1" xfId="3" applyBorder="1" applyAlignment="1">
      <alignment horizontal="center"/>
    </xf>
    <xf numFmtId="0" fontId="1" fillId="0" borderId="0" xfId="3" applyAlignment="1">
      <alignment horizontal="center"/>
    </xf>
    <xf numFmtId="0" fontId="11" fillId="20" borderId="7" xfId="3" applyFont="1" applyFill="1" applyBorder="1" applyAlignment="1">
      <alignment horizontal="center" vertical="center"/>
    </xf>
    <xf numFmtId="0" fontId="11" fillId="20" borderId="9" xfId="3" applyFont="1" applyFill="1" applyBorder="1" applyAlignment="1">
      <alignment horizontal="center" vertical="center"/>
    </xf>
    <xf numFmtId="166" fontId="11" fillId="20" borderId="7" xfId="5" applyNumberFormat="1" applyFont="1" applyFill="1" applyBorder="1" applyAlignment="1">
      <alignment horizontal="center" vertical="center"/>
    </xf>
    <xf numFmtId="166" fontId="11" fillId="20" borderId="9" xfId="5" applyNumberFormat="1" applyFont="1" applyFill="1" applyBorder="1" applyAlignment="1">
      <alignment horizontal="center" vertical="center"/>
    </xf>
    <xf numFmtId="166" fontId="11" fillId="20" borderId="7" xfId="5" applyNumberFormat="1" applyFont="1" applyFill="1" applyBorder="1" applyAlignment="1">
      <alignment horizontal="center" vertical="center" wrapText="1"/>
    </xf>
    <xf numFmtId="166" fontId="11" fillId="20" borderId="9" xfId="5" applyNumberFormat="1" applyFont="1" applyFill="1" applyBorder="1" applyAlignment="1">
      <alignment horizontal="center" vertical="center" wrapText="1"/>
    </xf>
    <xf numFmtId="0" fontId="11" fillId="20" borderId="7" xfId="3" applyFont="1" applyFill="1" applyBorder="1" applyAlignment="1">
      <alignment horizontal="center" vertical="center" wrapText="1"/>
    </xf>
    <xf numFmtId="0" fontId="11" fillId="20" borderId="9" xfId="3" applyFont="1" applyFill="1" applyBorder="1" applyAlignment="1">
      <alignment horizontal="center" vertical="center" wrapText="1"/>
    </xf>
    <xf numFmtId="0" fontId="11" fillId="20" borderId="7" xfId="0" applyFont="1" applyFill="1" applyBorder="1" applyAlignment="1">
      <alignment horizontal="center" vertical="center"/>
    </xf>
    <xf numFmtId="0" fontId="11" fillId="20" borderId="18" xfId="0" applyFont="1" applyFill="1" applyBorder="1" applyAlignment="1">
      <alignment horizontal="center" vertical="center"/>
    </xf>
    <xf numFmtId="0" fontId="11" fillId="20" borderId="7" xfId="0" applyFont="1" applyFill="1" applyBorder="1" applyAlignment="1">
      <alignment horizontal="center" vertical="center" wrapText="1"/>
    </xf>
    <xf numFmtId="0" fontId="11" fillId="20" borderId="18" xfId="0" applyFont="1" applyFill="1" applyBorder="1" applyAlignment="1">
      <alignment horizontal="center" vertical="center" wrapText="1"/>
    </xf>
  </cellXfs>
  <cellStyles count="6">
    <cellStyle name="Millares" xfId="1" builtinId="3"/>
    <cellStyle name="Millares 2" xfId="4"/>
    <cellStyle name="Moneda" xfId="2" builtinId="4"/>
    <cellStyle name="Moneda 2" xfId="5"/>
    <cellStyle name="Normal" xfId="0" builtinId="0"/>
    <cellStyle name="Normal 2" xfId="3"/>
  </cellStyles>
  <dxfs count="1">
    <dxf>
      <font>
        <color rgb="FF9C0006"/>
      </font>
      <fill>
        <patternFill>
          <bgColor rgb="FFFFC7CE"/>
        </patternFill>
      </fill>
    </dxf>
  </dxfs>
  <tableStyles count="0" defaultTableStyle="TableStyleMedium2" defaultPivotStyle="PivotStyleLight16"/>
  <colors>
    <mruColors>
      <color rgb="FF99FF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8.png"/><Relationship Id="rId21" Type="http://schemas.openxmlformats.org/officeDocument/2006/relationships/image" Target="../media/image23.jpeg"/><Relationship Id="rId42" Type="http://schemas.openxmlformats.org/officeDocument/2006/relationships/image" Target="../media/image44.jpeg"/><Relationship Id="rId47" Type="http://schemas.openxmlformats.org/officeDocument/2006/relationships/image" Target="../media/image49.png"/><Relationship Id="rId63" Type="http://schemas.openxmlformats.org/officeDocument/2006/relationships/image" Target="../media/image65.png"/><Relationship Id="rId68" Type="http://schemas.openxmlformats.org/officeDocument/2006/relationships/image" Target="../media/image70.png"/><Relationship Id="rId84" Type="http://schemas.openxmlformats.org/officeDocument/2006/relationships/image" Target="../media/image86.png"/><Relationship Id="rId89" Type="http://schemas.openxmlformats.org/officeDocument/2006/relationships/image" Target="../media/image91.png"/><Relationship Id="rId16" Type="http://schemas.openxmlformats.org/officeDocument/2006/relationships/image" Target="../media/image18.jpeg"/><Relationship Id="rId11" Type="http://schemas.openxmlformats.org/officeDocument/2006/relationships/image" Target="../media/image13.png"/><Relationship Id="rId32" Type="http://schemas.openxmlformats.org/officeDocument/2006/relationships/image" Target="../media/image34.png"/><Relationship Id="rId37" Type="http://schemas.openxmlformats.org/officeDocument/2006/relationships/image" Target="../media/image39.png"/><Relationship Id="rId53" Type="http://schemas.openxmlformats.org/officeDocument/2006/relationships/image" Target="../media/image55.png"/><Relationship Id="rId58" Type="http://schemas.openxmlformats.org/officeDocument/2006/relationships/image" Target="../media/image60.png"/><Relationship Id="rId74" Type="http://schemas.openxmlformats.org/officeDocument/2006/relationships/image" Target="../media/image76.png"/><Relationship Id="rId79" Type="http://schemas.openxmlformats.org/officeDocument/2006/relationships/image" Target="../media/image81.png"/><Relationship Id="rId5" Type="http://schemas.openxmlformats.org/officeDocument/2006/relationships/image" Target="../media/image7.png"/><Relationship Id="rId90" Type="http://schemas.openxmlformats.org/officeDocument/2006/relationships/image" Target="../media/image92.png"/><Relationship Id="rId14" Type="http://schemas.openxmlformats.org/officeDocument/2006/relationships/image" Target="../media/image16.png"/><Relationship Id="rId22" Type="http://schemas.openxmlformats.org/officeDocument/2006/relationships/image" Target="../media/image24.png"/><Relationship Id="rId27" Type="http://schemas.openxmlformats.org/officeDocument/2006/relationships/image" Target="../media/image29.png"/><Relationship Id="rId30" Type="http://schemas.openxmlformats.org/officeDocument/2006/relationships/image" Target="../media/image32.png"/><Relationship Id="rId35" Type="http://schemas.openxmlformats.org/officeDocument/2006/relationships/image" Target="../media/image37.png"/><Relationship Id="rId43" Type="http://schemas.openxmlformats.org/officeDocument/2006/relationships/image" Target="../media/image45.png"/><Relationship Id="rId48" Type="http://schemas.openxmlformats.org/officeDocument/2006/relationships/image" Target="../media/image50.png"/><Relationship Id="rId56" Type="http://schemas.openxmlformats.org/officeDocument/2006/relationships/image" Target="../media/image58.png"/><Relationship Id="rId64" Type="http://schemas.openxmlformats.org/officeDocument/2006/relationships/image" Target="../media/image66.jpeg"/><Relationship Id="rId69" Type="http://schemas.openxmlformats.org/officeDocument/2006/relationships/image" Target="../media/image71.png"/><Relationship Id="rId77" Type="http://schemas.openxmlformats.org/officeDocument/2006/relationships/image" Target="../media/image79.png"/><Relationship Id="rId8" Type="http://schemas.openxmlformats.org/officeDocument/2006/relationships/image" Target="../media/image10.png"/><Relationship Id="rId51" Type="http://schemas.openxmlformats.org/officeDocument/2006/relationships/image" Target="../media/image53.png"/><Relationship Id="rId72" Type="http://schemas.openxmlformats.org/officeDocument/2006/relationships/image" Target="../media/image74.png"/><Relationship Id="rId80" Type="http://schemas.openxmlformats.org/officeDocument/2006/relationships/image" Target="../media/image82.png"/><Relationship Id="rId85" Type="http://schemas.openxmlformats.org/officeDocument/2006/relationships/image" Target="../media/image87.jpeg"/><Relationship Id="rId3" Type="http://schemas.openxmlformats.org/officeDocument/2006/relationships/image" Target="../media/image5.png"/><Relationship Id="rId12" Type="http://schemas.openxmlformats.org/officeDocument/2006/relationships/image" Target="../media/image14.jpeg"/><Relationship Id="rId17" Type="http://schemas.openxmlformats.org/officeDocument/2006/relationships/image" Target="../media/image19.png"/><Relationship Id="rId25" Type="http://schemas.openxmlformats.org/officeDocument/2006/relationships/image" Target="../media/image27.png"/><Relationship Id="rId33" Type="http://schemas.openxmlformats.org/officeDocument/2006/relationships/image" Target="../media/image35.png"/><Relationship Id="rId38" Type="http://schemas.openxmlformats.org/officeDocument/2006/relationships/image" Target="../media/image40.png"/><Relationship Id="rId46" Type="http://schemas.openxmlformats.org/officeDocument/2006/relationships/image" Target="../media/image48.png"/><Relationship Id="rId59" Type="http://schemas.openxmlformats.org/officeDocument/2006/relationships/image" Target="../media/image61.png"/><Relationship Id="rId67" Type="http://schemas.openxmlformats.org/officeDocument/2006/relationships/image" Target="../media/image69.png"/><Relationship Id="rId20" Type="http://schemas.openxmlformats.org/officeDocument/2006/relationships/image" Target="../media/image22.jpeg"/><Relationship Id="rId41" Type="http://schemas.openxmlformats.org/officeDocument/2006/relationships/image" Target="../media/image43.jpeg"/><Relationship Id="rId54" Type="http://schemas.openxmlformats.org/officeDocument/2006/relationships/image" Target="../media/image56.png"/><Relationship Id="rId62" Type="http://schemas.openxmlformats.org/officeDocument/2006/relationships/image" Target="../media/image64.png"/><Relationship Id="rId70" Type="http://schemas.openxmlformats.org/officeDocument/2006/relationships/image" Target="../media/image72.png"/><Relationship Id="rId75" Type="http://schemas.openxmlformats.org/officeDocument/2006/relationships/image" Target="../media/image77.png"/><Relationship Id="rId83" Type="http://schemas.openxmlformats.org/officeDocument/2006/relationships/image" Target="../media/image85.png"/><Relationship Id="rId88" Type="http://schemas.openxmlformats.org/officeDocument/2006/relationships/image" Target="../media/image90.png"/><Relationship Id="rId91" Type="http://schemas.openxmlformats.org/officeDocument/2006/relationships/image" Target="../media/image93.png"/><Relationship Id="rId1" Type="http://schemas.openxmlformats.org/officeDocument/2006/relationships/image" Target="../media/image3.png"/><Relationship Id="rId6" Type="http://schemas.openxmlformats.org/officeDocument/2006/relationships/image" Target="../media/image8.png"/><Relationship Id="rId15" Type="http://schemas.openxmlformats.org/officeDocument/2006/relationships/image" Target="../media/image17.png"/><Relationship Id="rId23" Type="http://schemas.openxmlformats.org/officeDocument/2006/relationships/image" Target="../media/image25.png"/><Relationship Id="rId28" Type="http://schemas.openxmlformats.org/officeDocument/2006/relationships/image" Target="../media/image30.png"/><Relationship Id="rId36" Type="http://schemas.openxmlformats.org/officeDocument/2006/relationships/image" Target="../media/image38.png"/><Relationship Id="rId49" Type="http://schemas.openxmlformats.org/officeDocument/2006/relationships/image" Target="../media/image51.png"/><Relationship Id="rId57" Type="http://schemas.openxmlformats.org/officeDocument/2006/relationships/image" Target="../media/image59.png"/><Relationship Id="rId10" Type="http://schemas.openxmlformats.org/officeDocument/2006/relationships/image" Target="../media/image12.png"/><Relationship Id="rId31" Type="http://schemas.openxmlformats.org/officeDocument/2006/relationships/image" Target="../media/image33.png"/><Relationship Id="rId44" Type="http://schemas.openxmlformats.org/officeDocument/2006/relationships/image" Target="../media/image46.png"/><Relationship Id="rId52" Type="http://schemas.openxmlformats.org/officeDocument/2006/relationships/image" Target="../media/image54.png"/><Relationship Id="rId60" Type="http://schemas.openxmlformats.org/officeDocument/2006/relationships/image" Target="../media/image62.png"/><Relationship Id="rId65" Type="http://schemas.openxmlformats.org/officeDocument/2006/relationships/image" Target="../media/image67.png"/><Relationship Id="rId73" Type="http://schemas.openxmlformats.org/officeDocument/2006/relationships/image" Target="../media/image75.png"/><Relationship Id="rId78" Type="http://schemas.openxmlformats.org/officeDocument/2006/relationships/image" Target="../media/image80.png"/><Relationship Id="rId81" Type="http://schemas.openxmlformats.org/officeDocument/2006/relationships/image" Target="../media/image83.png"/><Relationship Id="rId86" Type="http://schemas.openxmlformats.org/officeDocument/2006/relationships/image" Target="../media/image88.png"/><Relationship Id="rId4" Type="http://schemas.openxmlformats.org/officeDocument/2006/relationships/image" Target="../media/image6.png"/><Relationship Id="rId9" Type="http://schemas.openxmlformats.org/officeDocument/2006/relationships/image" Target="../media/image11.png"/><Relationship Id="rId13" Type="http://schemas.openxmlformats.org/officeDocument/2006/relationships/image" Target="../media/image15.png"/><Relationship Id="rId18" Type="http://schemas.openxmlformats.org/officeDocument/2006/relationships/image" Target="../media/image20.png"/><Relationship Id="rId39" Type="http://schemas.openxmlformats.org/officeDocument/2006/relationships/image" Target="../media/image41.png"/><Relationship Id="rId34" Type="http://schemas.openxmlformats.org/officeDocument/2006/relationships/image" Target="../media/image36.png"/><Relationship Id="rId50" Type="http://schemas.openxmlformats.org/officeDocument/2006/relationships/image" Target="../media/image52.png"/><Relationship Id="rId55" Type="http://schemas.openxmlformats.org/officeDocument/2006/relationships/image" Target="../media/image57.png"/><Relationship Id="rId76" Type="http://schemas.openxmlformats.org/officeDocument/2006/relationships/image" Target="../media/image78.png"/><Relationship Id="rId7" Type="http://schemas.openxmlformats.org/officeDocument/2006/relationships/image" Target="../media/image9.png"/><Relationship Id="rId71" Type="http://schemas.openxmlformats.org/officeDocument/2006/relationships/image" Target="../media/image73.png"/><Relationship Id="rId2" Type="http://schemas.openxmlformats.org/officeDocument/2006/relationships/image" Target="../media/image4.png"/><Relationship Id="rId29" Type="http://schemas.openxmlformats.org/officeDocument/2006/relationships/image" Target="../media/image31.png"/><Relationship Id="rId24" Type="http://schemas.openxmlformats.org/officeDocument/2006/relationships/image" Target="../media/image26.png"/><Relationship Id="rId40" Type="http://schemas.openxmlformats.org/officeDocument/2006/relationships/image" Target="../media/image42.png"/><Relationship Id="rId45" Type="http://schemas.openxmlformats.org/officeDocument/2006/relationships/image" Target="../media/image47.png"/><Relationship Id="rId66" Type="http://schemas.openxmlformats.org/officeDocument/2006/relationships/image" Target="../media/image68.png"/><Relationship Id="rId87" Type="http://schemas.openxmlformats.org/officeDocument/2006/relationships/image" Target="../media/image89.png"/><Relationship Id="rId61" Type="http://schemas.openxmlformats.org/officeDocument/2006/relationships/image" Target="../media/image63.png"/><Relationship Id="rId82" Type="http://schemas.openxmlformats.org/officeDocument/2006/relationships/image" Target="../media/image84.png"/><Relationship Id="rId19" Type="http://schemas.openxmlformats.org/officeDocument/2006/relationships/image" Target="../media/image21.png"/></Relationships>
</file>

<file path=xl/drawings/_rels/drawing2.xml.rels><?xml version="1.0" encoding="UTF-8" standalone="yes"?>
<Relationships xmlns="http://schemas.openxmlformats.org/package/2006/relationships"><Relationship Id="rId1" Type="http://schemas.openxmlformats.org/officeDocument/2006/relationships/image" Target="../media/image94.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2</xdr:col>
      <xdr:colOff>775827</xdr:colOff>
      <xdr:row>5</xdr:row>
      <xdr:rowOff>184354</xdr:rowOff>
    </xdr:from>
    <xdr:to>
      <xdr:col>2</xdr:col>
      <xdr:colOff>2158857</xdr:colOff>
      <xdr:row>5</xdr:row>
      <xdr:rowOff>1374344</xdr:rowOff>
    </xdr:to>
    <xdr:pic>
      <xdr:nvPicPr>
        <xdr:cNvPr id="2" name="Imagen 1">
          <a:extLst>
            <a:ext uri="{FF2B5EF4-FFF2-40B4-BE49-F238E27FC236}">
              <a16:creationId xmlns:a16="http://schemas.microsoft.com/office/drawing/2014/main" id="{00000000-0008-0000-0000-000002000000}"/>
            </a:ext>
          </a:extLst>
        </xdr:cNvPr>
        <xdr:cNvPicPr/>
      </xdr:nvPicPr>
      <xdr:blipFill>
        <a:blip xmlns:r="http://schemas.openxmlformats.org/officeDocument/2006/relationships" r:embed="rId1"/>
        <a:stretch>
          <a:fillRect/>
        </a:stretch>
      </xdr:blipFill>
      <xdr:spPr>
        <a:xfrm>
          <a:off x="3738102" y="4137229"/>
          <a:ext cx="1383030" cy="1189990"/>
        </a:xfrm>
        <a:prstGeom prst="rect">
          <a:avLst/>
        </a:prstGeom>
      </xdr:spPr>
    </xdr:pic>
    <xdr:clientData/>
  </xdr:twoCellAnchor>
  <xdr:twoCellAnchor editAs="oneCell">
    <xdr:from>
      <xdr:col>2</xdr:col>
      <xdr:colOff>614516</xdr:colOff>
      <xdr:row>6</xdr:row>
      <xdr:rowOff>84495</xdr:rowOff>
    </xdr:from>
    <xdr:to>
      <xdr:col>2</xdr:col>
      <xdr:colOff>2045171</xdr:colOff>
      <xdr:row>6</xdr:row>
      <xdr:rowOff>1758764</xdr:rowOff>
    </xdr:to>
    <xdr:pic>
      <xdr:nvPicPr>
        <xdr:cNvPr id="3" name="Imagen 2">
          <a:extLst>
            <a:ext uri="{FF2B5EF4-FFF2-40B4-BE49-F238E27FC236}">
              <a16:creationId xmlns:a16="http://schemas.microsoft.com/office/drawing/2014/main" id="{00000000-0008-0000-0000-000003000000}"/>
            </a:ext>
          </a:extLst>
        </xdr:cNvPr>
        <xdr:cNvPicPr/>
      </xdr:nvPicPr>
      <xdr:blipFill>
        <a:blip xmlns:r="http://schemas.openxmlformats.org/officeDocument/2006/relationships" r:embed="rId2"/>
        <a:stretch>
          <a:fillRect/>
        </a:stretch>
      </xdr:blipFill>
      <xdr:spPr>
        <a:xfrm>
          <a:off x="3576791" y="5828070"/>
          <a:ext cx="1430655" cy="1674269"/>
        </a:xfrm>
        <a:prstGeom prst="rect">
          <a:avLst/>
        </a:prstGeom>
      </xdr:spPr>
    </xdr:pic>
    <xdr:clientData/>
  </xdr:twoCellAnchor>
  <xdr:twoCellAnchor editAs="oneCell">
    <xdr:from>
      <xdr:col>2</xdr:col>
      <xdr:colOff>851085</xdr:colOff>
      <xdr:row>7</xdr:row>
      <xdr:rowOff>145947</xdr:rowOff>
    </xdr:from>
    <xdr:to>
      <xdr:col>2</xdr:col>
      <xdr:colOff>1845604</xdr:colOff>
      <xdr:row>7</xdr:row>
      <xdr:rowOff>1782760</xdr:rowOff>
    </xdr:to>
    <xdr:pic>
      <xdr:nvPicPr>
        <xdr:cNvPr id="4" name="Imagen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stretch>
          <a:fillRect/>
        </a:stretch>
      </xdr:blipFill>
      <xdr:spPr>
        <a:xfrm>
          <a:off x="3813360" y="7680222"/>
          <a:ext cx="994519" cy="1636813"/>
        </a:xfrm>
        <a:prstGeom prst="rect">
          <a:avLst/>
        </a:prstGeom>
      </xdr:spPr>
    </xdr:pic>
    <xdr:clientData/>
  </xdr:twoCellAnchor>
  <xdr:twoCellAnchor editAs="oneCell">
    <xdr:from>
      <xdr:col>2</xdr:col>
      <xdr:colOff>190457</xdr:colOff>
      <xdr:row>8</xdr:row>
      <xdr:rowOff>684800</xdr:rowOff>
    </xdr:from>
    <xdr:to>
      <xdr:col>2</xdr:col>
      <xdr:colOff>2417010</xdr:colOff>
      <xdr:row>8</xdr:row>
      <xdr:rowOff>1875426</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a:stretch>
          <a:fillRect/>
        </a:stretch>
      </xdr:blipFill>
      <xdr:spPr>
        <a:xfrm>
          <a:off x="3152732" y="11076575"/>
          <a:ext cx="2226553" cy="1190626"/>
        </a:xfrm>
        <a:prstGeom prst="rect">
          <a:avLst/>
        </a:prstGeom>
      </xdr:spPr>
    </xdr:pic>
    <xdr:clientData/>
  </xdr:twoCellAnchor>
  <xdr:twoCellAnchor editAs="oneCell">
    <xdr:from>
      <xdr:col>2</xdr:col>
      <xdr:colOff>821916</xdr:colOff>
      <xdr:row>10</xdr:row>
      <xdr:rowOff>61451</xdr:rowOff>
    </xdr:from>
    <xdr:to>
      <xdr:col>2</xdr:col>
      <xdr:colOff>2068276</xdr:colOff>
      <xdr:row>10</xdr:row>
      <xdr:rowOff>1682238</xdr:rowOff>
    </xdr:to>
    <xdr:pic>
      <xdr:nvPicPr>
        <xdr:cNvPr id="6" name="image2.png">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5"/>
        <a:srcRect/>
        <a:stretch>
          <a:fillRect/>
        </a:stretch>
      </xdr:blipFill>
      <xdr:spPr>
        <a:xfrm>
          <a:off x="3784191" y="13520276"/>
          <a:ext cx="1246360" cy="1620787"/>
        </a:xfrm>
        <a:prstGeom prst="rect">
          <a:avLst/>
        </a:prstGeom>
        <a:ln/>
      </xdr:spPr>
    </xdr:pic>
    <xdr:clientData/>
  </xdr:twoCellAnchor>
  <xdr:twoCellAnchor editAs="oneCell">
    <xdr:from>
      <xdr:col>2</xdr:col>
      <xdr:colOff>699012</xdr:colOff>
      <xdr:row>11</xdr:row>
      <xdr:rowOff>76815</xdr:rowOff>
    </xdr:from>
    <xdr:to>
      <xdr:col>2</xdr:col>
      <xdr:colOff>2097917</xdr:colOff>
      <xdr:row>11</xdr:row>
      <xdr:rowOff>1642725</xdr:rowOff>
    </xdr:to>
    <xdr:pic>
      <xdr:nvPicPr>
        <xdr:cNvPr id="7" name="Imagen 6">
          <a:extLst>
            <a:ext uri="{FF2B5EF4-FFF2-40B4-BE49-F238E27FC236}">
              <a16:creationId xmlns:a16="http://schemas.microsoft.com/office/drawing/2014/main" id="{00000000-0008-0000-0000-000007000000}"/>
            </a:ext>
          </a:extLst>
        </xdr:cNvPr>
        <xdr:cNvPicPr/>
      </xdr:nvPicPr>
      <xdr:blipFill>
        <a:blip xmlns:r="http://schemas.openxmlformats.org/officeDocument/2006/relationships" r:embed="rId6"/>
        <a:stretch>
          <a:fillRect/>
        </a:stretch>
      </xdr:blipFill>
      <xdr:spPr>
        <a:xfrm>
          <a:off x="3661287" y="16097865"/>
          <a:ext cx="1398905" cy="1565910"/>
        </a:xfrm>
        <a:prstGeom prst="rect">
          <a:avLst/>
        </a:prstGeom>
      </xdr:spPr>
    </xdr:pic>
    <xdr:clientData/>
  </xdr:twoCellAnchor>
  <xdr:twoCellAnchor editAs="oneCell">
    <xdr:from>
      <xdr:col>2</xdr:col>
      <xdr:colOff>337291</xdr:colOff>
      <xdr:row>12</xdr:row>
      <xdr:rowOff>138266</xdr:rowOff>
    </xdr:from>
    <xdr:to>
      <xdr:col>2</xdr:col>
      <xdr:colOff>2335226</xdr:colOff>
      <xdr:row>12</xdr:row>
      <xdr:rowOff>1686921</xdr:rowOff>
    </xdr:to>
    <xdr:pic>
      <xdr:nvPicPr>
        <xdr:cNvPr id="8" name="Imagen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7"/>
        <a:stretch>
          <a:fillRect/>
        </a:stretch>
      </xdr:blipFill>
      <xdr:spPr>
        <a:xfrm>
          <a:off x="3299566" y="17950016"/>
          <a:ext cx="1997935" cy="1548655"/>
        </a:xfrm>
        <a:prstGeom prst="rect">
          <a:avLst/>
        </a:prstGeom>
      </xdr:spPr>
    </xdr:pic>
    <xdr:clientData/>
  </xdr:twoCellAnchor>
  <xdr:twoCellAnchor editAs="oneCell">
    <xdr:from>
      <xdr:col>2</xdr:col>
      <xdr:colOff>307093</xdr:colOff>
      <xdr:row>13</xdr:row>
      <xdr:rowOff>311204</xdr:rowOff>
    </xdr:from>
    <xdr:to>
      <xdr:col>2</xdr:col>
      <xdr:colOff>2204577</xdr:colOff>
      <xdr:row>13</xdr:row>
      <xdr:rowOff>1406166</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8"/>
        <a:stretch>
          <a:fillRect/>
        </a:stretch>
      </xdr:blipFill>
      <xdr:spPr>
        <a:xfrm flipH="1">
          <a:off x="3269368" y="19913654"/>
          <a:ext cx="1897484" cy="1094962"/>
        </a:xfrm>
        <a:prstGeom prst="rect">
          <a:avLst/>
        </a:prstGeom>
      </xdr:spPr>
    </xdr:pic>
    <xdr:clientData/>
  </xdr:twoCellAnchor>
  <xdr:twoCellAnchor editAs="oneCell">
    <xdr:from>
      <xdr:col>2</xdr:col>
      <xdr:colOff>844960</xdr:colOff>
      <xdr:row>14</xdr:row>
      <xdr:rowOff>246436</xdr:rowOff>
    </xdr:from>
    <xdr:to>
      <xdr:col>2</xdr:col>
      <xdr:colOff>1699749</xdr:colOff>
      <xdr:row>14</xdr:row>
      <xdr:rowOff>1749323</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9"/>
        <a:stretch>
          <a:fillRect/>
        </a:stretch>
      </xdr:blipFill>
      <xdr:spPr>
        <a:xfrm>
          <a:off x="3807235" y="21639586"/>
          <a:ext cx="854789" cy="1502887"/>
        </a:xfrm>
        <a:prstGeom prst="rect">
          <a:avLst/>
        </a:prstGeom>
      </xdr:spPr>
    </xdr:pic>
    <xdr:clientData/>
  </xdr:twoCellAnchor>
  <xdr:twoCellAnchor editAs="oneCell">
    <xdr:from>
      <xdr:col>2</xdr:col>
      <xdr:colOff>614517</xdr:colOff>
      <xdr:row>16</xdr:row>
      <xdr:rowOff>153629</xdr:rowOff>
    </xdr:from>
    <xdr:to>
      <xdr:col>2</xdr:col>
      <xdr:colOff>2054062</xdr:colOff>
      <xdr:row>16</xdr:row>
      <xdr:rowOff>1593809</xdr:rowOff>
    </xdr:to>
    <xdr:pic>
      <xdr:nvPicPr>
        <xdr:cNvPr id="11" name="image1.png">
          <a:extLst>
            <a:ext uri="{FF2B5EF4-FFF2-40B4-BE49-F238E27FC236}">
              <a16:creationId xmlns:a16="http://schemas.microsoft.com/office/drawing/2014/main" id="{00000000-0008-0000-0000-00000B000000}"/>
            </a:ext>
          </a:extLst>
        </xdr:cNvPr>
        <xdr:cNvPicPr/>
      </xdr:nvPicPr>
      <xdr:blipFill>
        <a:blip xmlns:r="http://schemas.openxmlformats.org/officeDocument/2006/relationships" r:embed="rId10"/>
        <a:srcRect/>
        <a:stretch>
          <a:fillRect/>
        </a:stretch>
      </xdr:blipFill>
      <xdr:spPr>
        <a:xfrm>
          <a:off x="3576792" y="23489879"/>
          <a:ext cx="1439545" cy="1440180"/>
        </a:xfrm>
        <a:prstGeom prst="rect">
          <a:avLst/>
        </a:prstGeom>
        <a:ln/>
      </xdr:spPr>
    </xdr:pic>
    <xdr:clientData/>
  </xdr:twoCellAnchor>
  <xdr:twoCellAnchor editAs="oneCell">
    <xdr:from>
      <xdr:col>2</xdr:col>
      <xdr:colOff>691331</xdr:colOff>
      <xdr:row>17</xdr:row>
      <xdr:rowOff>69137</xdr:rowOff>
    </xdr:from>
    <xdr:to>
      <xdr:col>2</xdr:col>
      <xdr:colOff>1958769</xdr:colOff>
      <xdr:row>17</xdr:row>
      <xdr:rowOff>1774418</xdr:rowOff>
    </xdr:to>
    <xdr:pic>
      <xdr:nvPicPr>
        <xdr:cNvPr id="12" name="image3.png">
          <a:extLst>
            <a:ext uri="{FF2B5EF4-FFF2-40B4-BE49-F238E27FC236}">
              <a16:creationId xmlns:a16="http://schemas.microsoft.com/office/drawing/2014/main" id="{00000000-0008-0000-0000-00000C000000}"/>
            </a:ext>
          </a:extLst>
        </xdr:cNvPr>
        <xdr:cNvPicPr/>
      </xdr:nvPicPr>
      <xdr:blipFill>
        <a:blip xmlns:r="http://schemas.openxmlformats.org/officeDocument/2006/relationships" r:embed="rId11"/>
        <a:srcRect/>
        <a:stretch>
          <a:fillRect/>
        </a:stretch>
      </xdr:blipFill>
      <xdr:spPr>
        <a:xfrm rot="5400000">
          <a:off x="3434684" y="25415009"/>
          <a:ext cx="1705281" cy="1267438"/>
        </a:xfrm>
        <a:prstGeom prst="rect">
          <a:avLst/>
        </a:prstGeom>
        <a:ln/>
      </xdr:spPr>
    </xdr:pic>
    <xdr:clientData/>
  </xdr:twoCellAnchor>
  <xdr:twoCellAnchor editAs="oneCell">
    <xdr:from>
      <xdr:col>2</xdr:col>
      <xdr:colOff>591472</xdr:colOff>
      <xdr:row>18</xdr:row>
      <xdr:rowOff>153629</xdr:rowOff>
    </xdr:from>
    <xdr:to>
      <xdr:col>2</xdr:col>
      <xdr:colOff>1976407</xdr:colOff>
      <xdr:row>18</xdr:row>
      <xdr:rowOff>1696044</xdr:rowOff>
    </xdr:to>
    <xdr:pic>
      <xdr:nvPicPr>
        <xdr:cNvPr id="13" name="Imagen 12">
          <a:extLst>
            <a:ext uri="{FF2B5EF4-FFF2-40B4-BE49-F238E27FC236}">
              <a16:creationId xmlns:a16="http://schemas.microsoft.com/office/drawing/2014/main" id="{00000000-0008-0000-0000-00000D000000}"/>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553747" y="27071279"/>
          <a:ext cx="1384935" cy="1542415"/>
        </a:xfrm>
        <a:prstGeom prst="rect">
          <a:avLst/>
        </a:prstGeom>
        <a:noFill/>
      </xdr:spPr>
    </xdr:pic>
    <xdr:clientData/>
  </xdr:twoCellAnchor>
  <xdr:twoCellAnchor editAs="oneCell">
    <xdr:from>
      <xdr:col>2</xdr:col>
      <xdr:colOff>660605</xdr:colOff>
      <xdr:row>19</xdr:row>
      <xdr:rowOff>261169</xdr:rowOff>
    </xdr:from>
    <xdr:to>
      <xdr:col>2</xdr:col>
      <xdr:colOff>2056970</xdr:colOff>
      <xdr:row>19</xdr:row>
      <xdr:rowOff>1425124</xdr:rowOff>
    </xdr:to>
    <xdr:pic>
      <xdr:nvPicPr>
        <xdr:cNvPr id="14" name="Imagen 13">
          <a:extLst>
            <a:ext uri="{FF2B5EF4-FFF2-40B4-BE49-F238E27FC236}">
              <a16:creationId xmlns:a16="http://schemas.microsoft.com/office/drawing/2014/main" id="{00000000-0008-0000-0000-00000E000000}"/>
            </a:ext>
          </a:extLst>
        </xdr:cNvPr>
        <xdr:cNvPicPr/>
      </xdr:nvPicPr>
      <xdr:blipFill>
        <a:blip xmlns:r="http://schemas.openxmlformats.org/officeDocument/2006/relationships" r:embed="rId13"/>
        <a:stretch>
          <a:fillRect/>
        </a:stretch>
      </xdr:blipFill>
      <xdr:spPr>
        <a:xfrm>
          <a:off x="3622880" y="28969519"/>
          <a:ext cx="1396365" cy="1163955"/>
        </a:xfrm>
        <a:prstGeom prst="rect">
          <a:avLst/>
        </a:prstGeom>
      </xdr:spPr>
    </xdr:pic>
    <xdr:clientData/>
  </xdr:twoCellAnchor>
  <mc:AlternateContent xmlns:mc="http://schemas.openxmlformats.org/markup-compatibility/2006">
    <mc:Choice xmlns:a14="http://schemas.microsoft.com/office/drawing/2010/main" Requires="a14">
      <xdr:twoCellAnchor>
        <xdr:from>
          <xdr:col>2</xdr:col>
          <xdr:colOff>571500</xdr:colOff>
          <xdr:row>20</xdr:row>
          <xdr:rowOff>114300</xdr:rowOff>
        </xdr:from>
        <xdr:to>
          <xdr:col>2</xdr:col>
          <xdr:colOff>2019300</xdr:colOff>
          <xdr:row>20</xdr:row>
          <xdr:rowOff>1590675</xdr:rowOff>
        </xdr:to>
        <xdr:sp macro="" textlink="">
          <xdr:nvSpPr>
            <xdr:cNvPr id="1025" name="Object 1" hidden="1">
              <a:extLst>
                <a:ext uri="{63B3BB69-23CF-44E3-9099-C40C66FF867C}">
                  <a14:compatExt spid="_x0000_s1025"/>
                </a:ext>
                <a:ext uri="{FF2B5EF4-FFF2-40B4-BE49-F238E27FC236}">
                  <a16:creationId xmlns:a16="http://schemas.microsoft.com/office/drawing/2014/main" id="{00000000-0008-0000-0000-000001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422478</xdr:colOff>
      <xdr:row>21</xdr:row>
      <xdr:rowOff>69133</xdr:rowOff>
    </xdr:from>
    <xdr:to>
      <xdr:col>2</xdr:col>
      <xdr:colOff>2296753</xdr:colOff>
      <xdr:row>21</xdr:row>
      <xdr:rowOff>1775920</xdr:rowOff>
    </xdr:to>
    <xdr:pic>
      <xdr:nvPicPr>
        <xdr:cNvPr id="16" name="Imagen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4"/>
        <a:stretch>
          <a:fillRect/>
        </a:stretch>
      </xdr:blipFill>
      <xdr:spPr>
        <a:xfrm>
          <a:off x="3384753" y="32768458"/>
          <a:ext cx="1874275" cy="1706787"/>
        </a:xfrm>
        <a:prstGeom prst="rect">
          <a:avLst/>
        </a:prstGeom>
      </xdr:spPr>
    </xdr:pic>
    <xdr:clientData/>
  </xdr:twoCellAnchor>
  <xdr:twoCellAnchor editAs="oneCell">
    <xdr:from>
      <xdr:col>2</xdr:col>
      <xdr:colOff>929455</xdr:colOff>
      <xdr:row>22</xdr:row>
      <xdr:rowOff>199717</xdr:rowOff>
    </xdr:from>
    <xdr:to>
      <xdr:col>2</xdr:col>
      <xdr:colOff>1664354</xdr:colOff>
      <xdr:row>22</xdr:row>
      <xdr:rowOff>1736622</xdr:rowOff>
    </xdr:to>
    <xdr:pic>
      <xdr:nvPicPr>
        <xdr:cNvPr id="17" name="Imagen 16">
          <a:extLst>
            <a:ext uri="{FF2B5EF4-FFF2-40B4-BE49-F238E27FC236}">
              <a16:creationId xmlns:a16="http://schemas.microsoft.com/office/drawing/2014/main" id="{00000000-0008-0000-0000-000011000000}"/>
            </a:ext>
          </a:extLst>
        </xdr:cNvPr>
        <xdr:cNvPicPr/>
      </xdr:nvPicPr>
      <xdr:blipFill>
        <a:blip xmlns:r="http://schemas.openxmlformats.org/officeDocument/2006/relationships" r:embed="rId15"/>
        <a:stretch>
          <a:fillRect/>
        </a:stretch>
      </xdr:blipFill>
      <xdr:spPr>
        <a:xfrm>
          <a:off x="3891730" y="34689742"/>
          <a:ext cx="734899" cy="1536905"/>
        </a:xfrm>
        <a:prstGeom prst="rect">
          <a:avLst/>
        </a:prstGeom>
      </xdr:spPr>
    </xdr:pic>
    <xdr:clientData/>
  </xdr:twoCellAnchor>
  <xdr:twoCellAnchor editAs="oneCell">
    <xdr:from>
      <xdr:col>2</xdr:col>
      <xdr:colOff>576108</xdr:colOff>
      <xdr:row>23</xdr:row>
      <xdr:rowOff>99859</xdr:rowOff>
    </xdr:from>
    <xdr:to>
      <xdr:col>2</xdr:col>
      <xdr:colOff>1990253</xdr:colOff>
      <xdr:row>23</xdr:row>
      <xdr:rowOff>1674557</xdr:rowOff>
    </xdr:to>
    <xdr:pic>
      <xdr:nvPicPr>
        <xdr:cNvPr id="18" name="Imagen 17">
          <a:extLst>
            <a:ext uri="{FF2B5EF4-FFF2-40B4-BE49-F238E27FC236}">
              <a16:creationId xmlns:a16="http://schemas.microsoft.com/office/drawing/2014/main" id="{00000000-0008-0000-0000-000012000000}"/>
            </a:ext>
          </a:extLst>
        </xdr:cNvPr>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538383" y="36380584"/>
          <a:ext cx="1414145" cy="1574698"/>
        </a:xfrm>
        <a:prstGeom prst="rect">
          <a:avLst/>
        </a:prstGeom>
        <a:noFill/>
        <a:ln>
          <a:noFill/>
        </a:ln>
      </xdr:spPr>
    </xdr:pic>
    <xdr:clientData/>
  </xdr:twoCellAnchor>
  <xdr:twoCellAnchor editAs="oneCell">
    <xdr:from>
      <xdr:col>2</xdr:col>
      <xdr:colOff>560746</xdr:colOff>
      <xdr:row>24</xdr:row>
      <xdr:rowOff>107541</xdr:rowOff>
    </xdr:from>
    <xdr:to>
      <xdr:col>2</xdr:col>
      <xdr:colOff>2009816</xdr:colOff>
      <xdr:row>24</xdr:row>
      <xdr:rowOff>1642971</xdr:rowOff>
    </xdr:to>
    <xdr:pic>
      <xdr:nvPicPr>
        <xdr:cNvPr id="19" name="Imagen 18">
          <a:extLst>
            <a:ext uri="{FF2B5EF4-FFF2-40B4-BE49-F238E27FC236}">
              <a16:creationId xmlns:a16="http://schemas.microsoft.com/office/drawing/2014/main" id="{00000000-0008-0000-0000-000013000000}"/>
            </a:ext>
          </a:extLst>
        </xdr:cNvPr>
        <xdr:cNvPicPr/>
      </xdr:nvPicPr>
      <xdr:blipFill>
        <a:blip xmlns:r="http://schemas.openxmlformats.org/officeDocument/2006/relationships" r:embed="rId17"/>
        <a:stretch>
          <a:fillRect/>
        </a:stretch>
      </xdr:blipFill>
      <xdr:spPr>
        <a:xfrm>
          <a:off x="3523021" y="38178966"/>
          <a:ext cx="1449070" cy="1535430"/>
        </a:xfrm>
        <a:prstGeom prst="rect">
          <a:avLst/>
        </a:prstGeom>
      </xdr:spPr>
    </xdr:pic>
    <xdr:clientData/>
  </xdr:twoCellAnchor>
  <xdr:twoCellAnchor editAs="oneCell">
    <xdr:from>
      <xdr:col>2</xdr:col>
      <xdr:colOff>691332</xdr:colOff>
      <xdr:row>25</xdr:row>
      <xdr:rowOff>46090</xdr:rowOff>
    </xdr:from>
    <xdr:to>
      <xdr:col>2</xdr:col>
      <xdr:colOff>1873680</xdr:colOff>
      <xdr:row>25</xdr:row>
      <xdr:rowOff>1651512</xdr:rowOff>
    </xdr:to>
    <xdr:pic>
      <xdr:nvPicPr>
        <xdr:cNvPr id="20" name="Imagen 19">
          <a:extLst>
            <a:ext uri="{FF2B5EF4-FFF2-40B4-BE49-F238E27FC236}">
              <a16:creationId xmlns:a16="http://schemas.microsoft.com/office/drawing/2014/main" id="{00000000-0008-0000-0000-000014000000}"/>
            </a:ext>
          </a:extLst>
        </xdr:cNvPr>
        <xdr:cNvPicPr/>
      </xdr:nvPicPr>
      <xdr:blipFill>
        <a:blip xmlns:r="http://schemas.openxmlformats.org/officeDocument/2006/relationships" r:embed="rId18"/>
        <a:stretch>
          <a:fillRect/>
        </a:stretch>
      </xdr:blipFill>
      <xdr:spPr>
        <a:xfrm>
          <a:off x="3653607" y="39908215"/>
          <a:ext cx="1182348" cy="1605422"/>
        </a:xfrm>
        <a:prstGeom prst="rect">
          <a:avLst/>
        </a:prstGeom>
      </xdr:spPr>
    </xdr:pic>
    <xdr:clientData/>
  </xdr:twoCellAnchor>
  <xdr:twoCellAnchor editAs="oneCell">
    <xdr:from>
      <xdr:col>2</xdr:col>
      <xdr:colOff>729739</xdr:colOff>
      <xdr:row>26</xdr:row>
      <xdr:rowOff>53770</xdr:rowOff>
    </xdr:from>
    <xdr:to>
      <xdr:col>2</xdr:col>
      <xdr:colOff>1930913</xdr:colOff>
      <xdr:row>26</xdr:row>
      <xdr:rowOff>1751371</xdr:rowOff>
    </xdr:to>
    <xdr:pic>
      <xdr:nvPicPr>
        <xdr:cNvPr id="21" name="Imagen 20">
          <a:extLst>
            <a:ext uri="{FF2B5EF4-FFF2-40B4-BE49-F238E27FC236}">
              <a16:creationId xmlns:a16="http://schemas.microsoft.com/office/drawing/2014/main" id="{00000000-0008-0000-0000-000015000000}"/>
            </a:ext>
          </a:extLst>
        </xdr:cNvPr>
        <xdr:cNvPicPr/>
      </xdr:nvPicPr>
      <xdr:blipFill>
        <a:blip xmlns:r="http://schemas.openxmlformats.org/officeDocument/2006/relationships" r:embed="rId19"/>
        <a:stretch>
          <a:fillRect/>
        </a:stretch>
      </xdr:blipFill>
      <xdr:spPr>
        <a:xfrm>
          <a:off x="3692014" y="42059020"/>
          <a:ext cx="1201174" cy="1697601"/>
        </a:xfrm>
        <a:prstGeom prst="rect">
          <a:avLst/>
        </a:prstGeom>
      </xdr:spPr>
    </xdr:pic>
    <xdr:clientData/>
  </xdr:twoCellAnchor>
  <xdr:twoCellAnchor editAs="oneCell">
    <xdr:from>
      <xdr:col>2</xdr:col>
      <xdr:colOff>445526</xdr:colOff>
      <xdr:row>27</xdr:row>
      <xdr:rowOff>130584</xdr:rowOff>
    </xdr:from>
    <xdr:to>
      <xdr:col>2</xdr:col>
      <xdr:colOff>1890396</xdr:colOff>
      <xdr:row>27</xdr:row>
      <xdr:rowOff>1749731</xdr:rowOff>
    </xdr:to>
    <xdr:pic>
      <xdr:nvPicPr>
        <xdr:cNvPr id="22" name="Imagen 21">
          <a:extLst>
            <a:ext uri="{FF2B5EF4-FFF2-40B4-BE49-F238E27FC236}">
              <a16:creationId xmlns:a16="http://schemas.microsoft.com/office/drawing/2014/main" id="{00000000-0008-0000-0000-000016000000}"/>
            </a:ext>
          </a:extLst>
        </xdr:cNvPr>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3407801" y="44278959"/>
          <a:ext cx="1444870" cy="1619147"/>
        </a:xfrm>
        <a:prstGeom prst="rect">
          <a:avLst/>
        </a:prstGeom>
        <a:noFill/>
      </xdr:spPr>
    </xdr:pic>
    <xdr:clientData/>
  </xdr:twoCellAnchor>
  <xdr:twoCellAnchor editAs="oneCell">
    <xdr:from>
      <xdr:col>2</xdr:col>
      <xdr:colOff>530020</xdr:colOff>
      <xdr:row>28</xdr:row>
      <xdr:rowOff>115222</xdr:rowOff>
    </xdr:from>
    <xdr:to>
      <xdr:col>2</xdr:col>
      <xdr:colOff>1960675</xdr:colOff>
      <xdr:row>28</xdr:row>
      <xdr:rowOff>1611282</xdr:rowOff>
    </xdr:to>
    <xdr:pic>
      <xdr:nvPicPr>
        <xdr:cNvPr id="23" name="Imagen 22">
          <a:extLst>
            <a:ext uri="{FF2B5EF4-FFF2-40B4-BE49-F238E27FC236}">
              <a16:creationId xmlns:a16="http://schemas.microsoft.com/office/drawing/2014/main" id="{00000000-0008-0000-0000-000017000000}"/>
            </a:ext>
          </a:extLst>
        </xdr:cNvPr>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492295" y="46406722"/>
          <a:ext cx="1430655" cy="1496060"/>
        </a:xfrm>
        <a:prstGeom prst="rect">
          <a:avLst/>
        </a:prstGeom>
        <a:noFill/>
      </xdr:spPr>
    </xdr:pic>
    <xdr:clientData/>
  </xdr:twoCellAnchor>
  <xdr:twoCellAnchor editAs="oneCell">
    <xdr:from>
      <xdr:col>2</xdr:col>
      <xdr:colOff>291895</xdr:colOff>
      <xdr:row>29</xdr:row>
      <xdr:rowOff>153628</xdr:rowOff>
    </xdr:from>
    <xdr:to>
      <xdr:col>2</xdr:col>
      <xdr:colOff>2350525</xdr:colOff>
      <xdr:row>29</xdr:row>
      <xdr:rowOff>1682237</xdr:rowOff>
    </xdr:to>
    <xdr:pic>
      <xdr:nvPicPr>
        <xdr:cNvPr id="24" name="Imagen 23" descr="Cordless-Reciprocating-Saw-D-Handle-18V-AMPshare-CORE18V-CRS180-B15-bosch-mugshot-v2">
          <a:extLst>
            <a:ext uri="{FF2B5EF4-FFF2-40B4-BE49-F238E27FC236}">
              <a16:creationId xmlns:a16="http://schemas.microsoft.com/office/drawing/2014/main" id="{00000000-0008-0000-0000-000018000000}"/>
            </a:ext>
          </a:extLst>
        </xdr:cNvPr>
        <xdr:cNvPicPr/>
      </xdr:nvPicPr>
      <xdr:blipFill rotWithShape="1">
        <a:blip xmlns:r="http://schemas.openxmlformats.org/officeDocument/2006/relationships" r:embed="rId22">
          <a:extLst>
            <a:ext uri="{28A0092B-C50C-407E-A947-70E740481C1C}">
              <a14:useLocalDpi xmlns:a14="http://schemas.microsoft.com/office/drawing/2010/main" val="0"/>
            </a:ext>
          </a:extLst>
        </a:blip>
        <a:srcRect t="19777" b="25529"/>
        <a:stretch/>
      </xdr:blipFill>
      <xdr:spPr bwMode="auto">
        <a:xfrm>
          <a:off x="3254170" y="48235828"/>
          <a:ext cx="2058630" cy="1528609"/>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691331</xdr:colOff>
      <xdr:row>30</xdr:row>
      <xdr:rowOff>115222</xdr:rowOff>
    </xdr:from>
    <xdr:to>
      <xdr:col>2</xdr:col>
      <xdr:colOff>2257426</xdr:colOff>
      <xdr:row>30</xdr:row>
      <xdr:rowOff>1713521</xdr:rowOff>
    </xdr:to>
    <xdr:pic>
      <xdr:nvPicPr>
        <xdr:cNvPr id="25" name="Imagen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3"/>
        <a:stretch>
          <a:fillRect/>
        </a:stretch>
      </xdr:blipFill>
      <xdr:spPr>
        <a:xfrm>
          <a:off x="3653606" y="49988122"/>
          <a:ext cx="1566095" cy="1598299"/>
        </a:xfrm>
        <a:prstGeom prst="rect">
          <a:avLst/>
        </a:prstGeom>
      </xdr:spPr>
    </xdr:pic>
    <xdr:clientData/>
  </xdr:twoCellAnchor>
  <xdr:twoCellAnchor editAs="oneCell">
    <xdr:from>
      <xdr:col>2</xdr:col>
      <xdr:colOff>523376</xdr:colOff>
      <xdr:row>31</xdr:row>
      <xdr:rowOff>93951</xdr:rowOff>
    </xdr:from>
    <xdr:to>
      <xdr:col>2</xdr:col>
      <xdr:colOff>1919464</xdr:colOff>
      <xdr:row>31</xdr:row>
      <xdr:rowOff>1644209</xdr:rowOff>
    </xdr:to>
    <xdr:pic>
      <xdr:nvPicPr>
        <xdr:cNvPr id="26" name="Imagen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4"/>
        <a:stretch>
          <a:fillRect/>
        </a:stretch>
      </xdr:blipFill>
      <xdr:spPr>
        <a:xfrm>
          <a:off x="3485651" y="51757551"/>
          <a:ext cx="1396088" cy="1550258"/>
        </a:xfrm>
        <a:prstGeom prst="rect">
          <a:avLst/>
        </a:prstGeom>
      </xdr:spPr>
    </xdr:pic>
    <xdr:clientData/>
  </xdr:twoCellAnchor>
  <xdr:twoCellAnchor editAs="oneCell">
    <xdr:from>
      <xdr:col>2</xdr:col>
      <xdr:colOff>376390</xdr:colOff>
      <xdr:row>32</xdr:row>
      <xdr:rowOff>132777</xdr:rowOff>
    </xdr:from>
    <xdr:to>
      <xdr:col>2</xdr:col>
      <xdr:colOff>2108405</xdr:colOff>
      <xdr:row>32</xdr:row>
      <xdr:rowOff>1649918</xdr:rowOff>
    </xdr:to>
    <xdr:pic>
      <xdr:nvPicPr>
        <xdr:cNvPr id="27" name="Imagen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5"/>
        <a:stretch>
          <a:fillRect/>
        </a:stretch>
      </xdr:blipFill>
      <xdr:spPr>
        <a:xfrm>
          <a:off x="3338665" y="53587077"/>
          <a:ext cx="1732015" cy="1517141"/>
        </a:xfrm>
        <a:prstGeom prst="rect">
          <a:avLst/>
        </a:prstGeom>
      </xdr:spPr>
    </xdr:pic>
    <xdr:clientData/>
  </xdr:twoCellAnchor>
  <xdr:twoCellAnchor editAs="oneCell">
    <xdr:from>
      <xdr:col>2</xdr:col>
      <xdr:colOff>610279</xdr:colOff>
      <xdr:row>33</xdr:row>
      <xdr:rowOff>291894</xdr:rowOff>
    </xdr:from>
    <xdr:to>
      <xdr:col>2</xdr:col>
      <xdr:colOff>2046174</xdr:colOff>
      <xdr:row>33</xdr:row>
      <xdr:rowOff>1455839</xdr:rowOff>
    </xdr:to>
    <xdr:pic>
      <xdr:nvPicPr>
        <xdr:cNvPr id="28" name="Imagen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6"/>
        <a:stretch>
          <a:fillRect/>
        </a:stretch>
      </xdr:blipFill>
      <xdr:spPr>
        <a:xfrm>
          <a:off x="3572554" y="55536894"/>
          <a:ext cx="1435895" cy="1163945"/>
        </a:xfrm>
        <a:prstGeom prst="rect">
          <a:avLst/>
        </a:prstGeom>
      </xdr:spPr>
    </xdr:pic>
    <xdr:clientData/>
  </xdr:twoCellAnchor>
  <xdr:twoCellAnchor editAs="oneCell">
    <xdr:from>
      <xdr:col>2</xdr:col>
      <xdr:colOff>571501</xdr:colOff>
      <xdr:row>34</xdr:row>
      <xdr:rowOff>99862</xdr:rowOff>
    </xdr:from>
    <xdr:to>
      <xdr:col>2</xdr:col>
      <xdr:colOff>2250666</xdr:colOff>
      <xdr:row>34</xdr:row>
      <xdr:rowOff>1738071</xdr:rowOff>
    </xdr:to>
    <xdr:pic>
      <xdr:nvPicPr>
        <xdr:cNvPr id="29" name="Imagen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7"/>
        <a:stretch>
          <a:fillRect/>
        </a:stretch>
      </xdr:blipFill>
      <xdr:spPr>
        <a:xfrm>
          <a:off x="3533776" y="57135562"/>
          <a:ext cx="1679165" cy="1638209"/>
        </a:xfrm>
        <a:prstGeom prst="rect">
          <a:avLst/>
        </a:prstGeom>
      </xdr:spPr>
    </xdr:pic>
    <xdr:clientData/>
  </xdr:twoCellAnchor>
  <xdr:twoCellAnchor editAs="oneCell">
    <xdr:from>
      <xdr:col>2</xdr:col>
      <xdr:colOff>330303</xdr:colOff>
      <xdr:row>35</xdr:row>
      <xdr:rowOff>245806</xdr:rowOff>
    </xdr:from>
    <xdr:to>
      <xdr:col>2</xdr:col>
      <xdr:colOff>2128991</xdr:colOff>
      <xdr:row>35</xdr:row>
      <xdr:rowOff>1599748</xdr:rowOff>
    </xdr:to>
    <xdr:pic>
      <xdr:nvPicPr>
        <xdr:cNvPr id="30" name="Imagen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8"/>
        <a:stretch>
          <a:fillRect/>
        </a:stretch>
      </xdr:blipFill>
      <xdr:spPr>
        <a:xfrm>
          <a:off x="3292578" y="59072206"/>
          <a:ext cx="1798688" cy="1353942"/>
        </a:xfrm>
        <a:prstGeom prst="rect">
          <a:avLst/>
        </a:prstGeom>
      </xdr:spPr>
    </xdr:pic>
    <xdr:clientData/>
  </xdr:twoCellAnchor>
  <xdr:twoCellAnchor editAs="oneCell">
    <xdr:from>
      <xdr:col>2</xdr:col>
      <xdr:colOff>590478</xdr:colOff>
      <xdr:row>36</xdr:row>
      <xdr:rowOff>330303</xdr:rowOff>
    </xdr:from>
    <xdr:to>
      <xdr:col>2</xdr:col>
      <xdr:colOff>2214248</xdr:colOff>
      <xdr:row>36</xdr:row>
      <xdr:rowOff>1383894</xdr:rowOff>
    </xdr:to>
    <xdr:pic>
      <xdr:nvPicPr>
        <xdr:cNvPr id="31" name="Imagen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29"/>
        <a:stretch>
          <a:fillRect/>
        </a:stretch>
      </xdr:blipFill>
      <xdr:spPr>
        <a:xfrm>
          <a:off x="3552753" y="60947403"/>
          <a:ext cx="1623770" cy="1053591"/>
        </a:xfrm>
        <a:prstGeom prst="rect">
          <a:avLst/>
        </a:prstGeom>
      </xdr:spPr>
    </xdr:pic>
    <xdr:clientData/>
  </xdr:twoCellAnchor>
  <xdr:twoCellAnchor editAs="oneCell">
    <xdr:from>
      <xdr:col>2</xdr:col>
      <xdr:colOff>345665</xdr:colOff>
      <xdr:row>37</xdr:row>
      <xdr:rowOff>276531</xdr:rowOff>
    </xdr:from>
    <xdr:to>
      <xdr:col>2</xdr:col>
      <xdr:colOff>2238050</xdr:colOff>
      <xdr:row>37</xdr:row>
      <xdr:rowOff>1513245</xdr:rowOff>
    </xdr:to>
    <xdr:pic>
      <xdr:nvPicPr>
        <xdr:cNvPr id="32" name="Imagen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30"/>
        <a:stretch>
          <a:fillRect/>
        </a:stretch>
      </xdr:blipFill>
      <xdr:spPr>
        <a:xfrm>
          <a:off x="3307940" y="62684331"/>
          <a:ext cx="1892385" cy="1236714"/>
        </a:xfrm>
        <a:prstGeom prst="rect">
          <a:avLst/>
        </a:prstGeom>
      </xdr:spPr>
    </xdr:pic>
    <xdr:clientData/>
  </xdr:twoCellAnchor>
  <xdr:twoCellAnchor editAs="oneCell">
    <xdr:from>
      <xdr:col>2</xdr:col>
      <xdr:colOff>283559</xdr:colOff>
      <xdr:row>38</xdr:row>
      <xdr:rowOff>222763</xdr:rowOff>
    </xdr:from>
    <xdr:to>
      <xdr:col>2</xdr:col>
      <xdr:colOff>2219940</xdr:colOff>
      <xdr:row>38</xdr:row>
      <xdr:rowOff>1673757</xdr:rowOff>
    </xdr:to>
    <xdr:pic>
      <xdr:nvPicPr>
        <xdr:cNvPr id="33" name="Imagen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31"/>
        <a:stretch>
          <a:fillRect/>
        </a:stretch>
      </xdr:blipFill>
      <xdr:spPr>
        <a:xfrm>
          <a:off x="3245834" y="67631188"/>
          <a:ext cx="1936381" cy="1450994"/>
        </a:xfrm>
        <a:prstGeom prst="rect">
          <a:avLst/>
        </a:prstGeom>
      </xdr:spPr>
    </xdr:pic>
    <xdr:clientData/>
  </xdr:twoCellAnchor>
  <xdr:twoCellAnchor editAs="oneCell">
    <xdr:from>
      <xdr:col>2</xdr:col>
      <xdr:colOff>384073</xdr:colOff>
      <xdr:row>39</xdr:row>
      <xdr:rowOff>7682</xdr:rowOff>
    </xdr:from>
    <xdr:to>
      <xdr:col>2</xdr:col>
      <xdr:colOff>2083517</xdr:colOff>
      <xdr:row>39</xdr:row>
      <xdr:rowOff>1782096</xdr:rowOff>
    </xdr:to>
    <xdr:pic>
      <xdr:nvPicPr>
        <xdr:cNvPr id="34" name="Imagen 33">
          <a:extLst>
            <a:ext uri="{FF2B5EF4-FFF2-40B4-BE49-F238E27FC236}">
              <a16:creationId xmlns:a16="http://schemas.microsoft.com/office/drawing/2014/main" id="{00000000-0008-0000-0000-000022000000}"/>
            </a:ext>
          </a:extLst>
        </xdr:cNvPr>
        <xdr:cNvPicPr/>
      </xdr:nvPicPr>
      <xdr:blipFill>
        <a:blip xmlns:r="http://schemas.openxmlformats.org/officeDocument/2006/relationships" r:embed="rId32"/>
        <a:stretch>
          <a:fillRect/>
        </a:stretch>
      </xdr:blipFill>
      <xdr:spPr>
        <a:xfrm>
          <a:off x="3346348" y="69206807"/>
          <a:ext cx="1699444" cy="1774414"/>
        </a:xfrm>
        <a:prstGeom prst="rect">
          <a:avLst/>
        </a:prstGeom>
      </xdr:spPr>
    </xdr:pic>
    <xdr:clientData/>
  </xdr:twoCellAnchor>
  <xdr:twoCellAnchor editAs="oneCell">
    <xdr:from>
      <xdr:col>2</xdr:col>
      <xdr:colOff>207400</xdr:colOff>
      <xdr:row>40</xdr:row>
      <xdr:rowOff>122903</xdr:rowOff>
    </xdr:from>
    <xdr:to>
      <xdr:col>2</xdr:col>
      <xdr:colOff>2279158</xdr:colOff>
      <xdr:row>40</xdr:row>
      <xdr:rowOff>1682238</xdr:rowOff>
    </xdr:to>
    <xdr:pic>
      <xdr:nvPicPr>
        <xdr:cNvPr id="35" name="Imagen 34">
          <a:extLst>
            <a:ext uri="{FF2B5EF4-FFF2-40B4-BE49-F238E27FC236}">
              <a16:creationId xmlns:a16="http://schemas.microsoft.com/office/drawing/2014/main" id="{00000000-0008-0000-0000-000023000000}"/>
            </a:ext>
          </a:extLst>
        </xdr:cNvPr>
        <xdr:cNvPicPr/>
      </xdr:nvPicPr>
      <xdr:blipFill>
        <a:blip xmlns:r="http://schemas.openxmlformats.org/officeDocument/2006/relationships" r:embed="rId33"/>
        <a:stretch>
          <a:fillRect/>
        </a:stretch>
      </xdr:blipFill>
      <xdr:spPr>
        <a:xfrm>
          <a:off x="3169675" y="71112728"/>
          <a:ext cx="2071758" cy="1559335"/>
        </a:xfrm>
        <a:prstGeom prst="rect">
          <a:avLst/>
        </a:prstGeom>
      </xdr:spPr>
    </xdr:pic>
    <xdr:clientData/>
  </xdr:twoCellAnchor>
  <xdr:twoCellAnchor editAs="oneCell">
    <xdr:from>
      <xdr:col>2</xdr:col>
      <xdr:colOff>291895</xdr:colOff>
      <xdr:row>41</xdr:row>
      <xdr:rowOff>192035</xdr:rowOff>
    </xdr:from>
    <xdr:to>
      <xdr:col>2</xdr:col>
      <xdr:colOff>2365887</xdr:colOff>
      <xdr:row>41</xdr:row>
      <xdr:rowOff>1636148</xdr:rowOff>
    </xdr:to>
    <xdr:pic>
      <xdr:nvPicPr>
        <xdr:cNvPr id="36" name="Imagen 35">
          <a:extLst>
            <a:ext uri="{FF2B5EF4-FFF2-40B4-BE49-F238E27FC236}">
              <a16:creationId xmlns:a16="http://schemas.microsoft.com/office/drawing/2014/main" id="{00000000-0008-0000-0000-000024000000}"/>
            </a:ext>
          </a:extLst>
        </xdr:cNvPr>
        <xdr:cNvPicPr/>
      </xdr:nvPicPr>
      <xdr:blipFill>
        <a:blip xmlns:r="http://schemas.openxmlformats.org/officeDocument/2006/relationships" r:embed="rId34"/>
        <a:stretch>
          <a:fillRect/>
        </a:stretch>
      </xdr:blipFill>
      <xdr:spPr>
        <a:xfrm>
          <a:off x="3254170" y="72972560"/>
          <a:ext cx="2073992" cy="1444113"/>
        </a:xfrm>
        <a:prstGeom prst="rect">
          <a:avLst/>
        </a:prstGeom>
      </xdr:spPr>
    </xdr:pic>
    <xdr:clientData/>
  </xdr:twoCellAnchor>
  <xdr:twoCellAnchor editAs="oneCell">
    <xdr:from>
      <xdr:col>2</xdr:col>
      <xdr:colOff>553064</xdr:colOff>
      <xdr:row>42</xdr:row>
      <xdr:rowOff>107540</xdr:rowOff>
    </xdr:from>
    <xdr:to>
      <xdr:col>2</xdr:col>
      <xdr:colOff>1976099</xdr:colOff>
      <xdr:row>42</xdr:row>
      <xdr:rowOff>1547720</xdr:rowOff>
    </xdr:to>
    <xdr:pic>
      <xdr:nvPicPr>
        <xdr:cNvPr id="37" name="Imagen 36">
          <a:extLst>
            <a:ext uri="{FF2B5EF4-FFF2-40B4-BE49-F238E27FC236}">
              <a16:creationId xmlns:a16="http://schemas.microsoft.com/office/drawing/2014/main" id="{00000000-0008-0000-0000-000025000000}"/>
            </a:ext>
          </a:extLst>
        </xdr:cNvPr>
        <xdr:cNvPicPr/>
      </xdr:nvPicPr>
      <xdr:blipFill>
        <a:blip xmlns:r="http://schemas.openxmlformats.org/officeDocument/2006/relationships" r:embed="rId35"/>
        <a:stretch>
          <a:fillRect/>
        </a:stretch>
      </xdr:blipFill>
      <xdr:spPr>
        <a:xfrm>
          <a:off x="3515339" y="74678765"/>
          <a:ext cx="1423035" cy="1440180"/>
        </a:xfrm>
        <a:prstGeom prst="rect">
          <a:avLst/>
        </a:prstGeom>
      </xdr:spPr>
    </xdr:pic>
    <xdr:clientData/>
  </xdr:twoCellAnchor>
  <xdr:twoCellAnchor editAs="oneCell">
    <xdr:from>
      <xdr:col>2</xdr:col>
      <xdr:colOff>537702</xdr:colOff>
      <xdr:row>43</xdr:row>
      <xdr:rowOff>161310</xdr:rowOff>
    </xdr:from>
    <xdr:to>
      <xdr:col>2</xdr:col>
      <xdr:colOff>1917557</xdr:colOff>
      <xdr:row>43</xdr:row>
      <xdr:rowOff>1449090</xdr:rowOff>
    </xdr:to>
    <xdr:pic>
      <xdr:nvPicPr>
        <xdr:cNvPr id="38" name="Imagen 37">
          <a:extLst>
            <a:ext uri="{FF2B5EF4-FFF2-40B4-BE49-F238E27FC236}">
              <a16:creationId xmlns:a16="http://schemas.microsoft.com/office/drawing/2014/main" id="{00000000-0008-0000-0000-000026000000}"/>
            </a:ext>
          </a:extLst>
        </xdr:cNvPr>
        <xdr:cNvPicPr/>
      </xdr:nvPicPr>
      <xdr:blipFill>
        <a:blip xmlns:r="http://schemas.openxmlformats.org/officeDocument/2006/relationships" r:embed="rId36"/>
        <a:stretch>
          <a:fillRect/>
        </a:stretch>
      </xdr:blipFill>
      <xdr:spPr>
        <a:xfrm>
          <a:off x="3499977" y="76523235"/>
          <a:ext cx="1379855" cy="1287780"/>
        </a:xfrm>
        <a:prstGeom prst="rect">
          <a:avLst/>
        </a:prstGeom>
      </xdr:spPr>
    </xdr:pic>
    <xdr:clientData/>
  </xdr:twoCellAnchor>
  <xdr:twoCellAnchor editAs="oneCell">
    <xdr:from>
      <xdr:col>2</xdr:col>
      <xdr:colOff>645242</xdr:colOff>
      <xdr:row>44</xdr:row>
      <xdr:rowOff>30726</xdr:rowOff>
    </xdr:from>
    <xdr:to>
      <xdr:col>2</xdr:col>
      <xdr:colOff>2025097</xdr:colOff>
      <xdr:row>44</xdr:row>
      <xdr:rowOff>1764276</xdr:rowOff>
    </xdr:to>
    <xdr:pic>
      <xdr:nvPicPr>
        <xdr:cNvPr id="39" name="Imagen 38">
          <a:extLst>
            <a:ext uri="{FF2B5EF4-FFF2-40B4-BE49-F238E27FC236}">
              <a16:creationId xmlns:a16="http://schemas.microsoft.com/office/drawing/2014/main" id="{00000000-0008-0000-0000-000027000000}"/>
            </a:ext>
          </a:extLst>
        </xdr:cNvPr>
        <xdr:cNvPicPr/>
      </xdr:nvPicPr>
      <xdr:blipFill>
        <a:blip xmlns:r="http://schemas.openxmlformats.org/officeDocument/2006/relationships" r:embed="rId37"/>
        <a:stretch>
          <a:fillRect/>
        </a:stretch>
      </xdr:blipFill>
      <xdr:spPr>
        <a:xfrm>
          <a:off x="3607517" y="78183351"/>
          <a:ext cx="1379855" cy="1733550"/>
        </a:xfrm>
        <a:prstGeom prst="rect">
          <a:avLst/>
        </a:prstGeom>
      </xdr:spPr>
    </xdr:pic>
    <xdr:clientData/>
  </xdr:twoCellAnchor>
  <xdr:twoCellAnchor editAs="oneCell">
    <xdr:from>
      <xdr:col>2</xdr:col>
      <xdr:colOff>268851</xdr:colOff>
      <xdr:row>45</xdr:row>
      <xdr:rowOff>84496</xdr:rowOff>
    </xdr:from>
    <xdr:to>
      <xdr:col>2</xdr:col>
      <xdr:colOff>2427339</xdr:colOff>
      <xdr:row>45</xdr:row>
      <xdr:rowOff>1728327</xdr:rowOff>
    </xdr:to>
    <xdr:pic>
      <xdr:nvPicPr>
        <xdr:cNvPr id="40" name="Imagen 39">
          <a:extLst>
            <a:ext uri="{FF2B5EF4-FFF2-40B4-BE49-F238E27FC236}">
              <a16:creationId xmlns:a16="http://schemas.microsoft.com/office/drawing/2014/main" id="{00000000-0008-0000-0000-000028000000}"/>
            </a:ext>
          </a:extLst>
        </xdr:cNvPr>
        <xdr:cNvPicPr/>
      </xdr:nvPicPr>
      <xdr:blipFill>
        <a:blip xmlns:r="http://schemas.openxmlformats.org/officeDocument/2006/relationships" r:embed="rId38"/>
        <a:stretch>
          <a:fillRect/>
        </a:stretch>
      </xdr:blipFill>
      <xdr:spPr>
        <a:xfrm>
          <a:off x="3231126" y="80027821"/>
          <a:ext cx="2158488" cy="1643831"/>
        </a:xfrm>
        <a:prstGeom prst="rect">
          <a:avLst/>
        </a:prstGeom>
      </xdr:spPr>
    </xdr:pic>
    <xdr:clientData/>
  </xdr:twoCellAnchor>
  <xdr:twoCellAnchor editAs="oneCell">
    <xdr:from>
      <xdr:col>2</xdr:col>
      <xdr:colOff>553064</xdr:colOff>
      <xdr:row>46</xdr:row>
      <xdr:rowOff>69133</xdr:rowOff>
    </xdr:from>
    <xdr:to>
      <xdr:col>2</xdr:col>
      <xdr:colOff>1950064</xdr:colOff>
      <xdr:row>46</xdr:row>
      <xdr:rowOff>1604563</xdr:rowOff>
    </xdr:to>
    <xdr:pic>
      <xdr:nvPicPr>
        <xdr:cNvPr id="41" name="Imagen 40">
          <a:extLst>
            <a:ext uri="{FF2B5EF4-FFF2-40B4-BE49-F238E27FC236}">
              <a16:creationId xmlns:a16="http://schemas.microsoft.com/office/drawing/2014/main" id="{00000000-0008-0000-0000-000029000000}"/>
            </a:ext>
          </a:extLst>
        </xdr:cNvPr>
        <xdr:cNvPicPr/>
      </xdr:nvPicPr>
      <xdr:blipFill>
        <a:blip xmlns:r="http://schemas.openxmlformats.org/officeDocument/2006/relationships" r:embed="rId39"/>
        <a:stretch>
          <a:fillRect/>
        </a:stretch>
      </xdr:blipFill>
      <xdr:spPr>
        <a:xfrm>
          <a:off x="3515339" y="81803158"/>
          <a:ext cx="1397000" cy="1535430"/>
        </a:xfrm>
        <a:prstGeom prst="rect">
          <a:avLst/>
        </a:prstGeom>
      </xdr:spPr>
    </xdr:pic>
    <xdr:clientData/>
  </xdr:twoCellAnchor>
  <xdr:twoCellAnchor editAs="oneCell">
    <xdr:from>
      <xdr:col>2</xdr:col>
      <xdr:colOff>691332</xdr:colOff>
      <xdr:row>47</xdr:row>
      <xdr:rowOff>138266</xdr:rowOff>
    </xdr:from>
    <xdr:to>
      <xdr:col>2</xdr:col>
      <xdr:colOff>1787096</xdr:colOff>
      <xdr:row>47</xdr:row>
      <xdr:rowOff>1720645</xdr:rowOff>
    </xdr:to>
    <xdr:pic>
      <xdr:nvPicPr>
        <xdr:cNvPr id="42" name="Imagen 41">
          <a:extLst>
            <a:ext uri="{FF2B5EF4-FFF2-40B4-BE49-F238E27FC236}">
              <a16:creationId xmlns:a16="http://schemas.microsoft.com/office/drawing/2014/main" id="{00000000-0008-0000-0000-00002A000000}"/>
            </a:ext>
          </a:extLst>
        </xdr:cNvPr>
        <xdr:cNvPicPr/>
      </xdr:nvPicPr>
      <xdr:blipFill>
        <a:blip xmlns:r="http://schemas.openxmlformats.org/officeDocument/2006/relationships" r:embed="rId40"/>
        <a:stretch>
          <a:fillRect/>
        </a:stretch>
      </xdr:blipFill>
      <xdr:spPr>
        <a:xfrm>
          <a:off x="3653607" y="83662991"/>
          <a:ext cx="1095764" cy="1582379"/>
        </a:xfrm>
        <a:prstGeom prst="rect">
          <a:avLst/>
        </a:prstGeom>
      </xdr:spPr>
    </xdr:pic>
    <xdr:clientData/>
  </xdr:twoCellAnchor>
  <xdr:twoCellAnchor editAs="oneCell">
    <xdr:from>
      <xdr:col>2</xdr:col>
      <xdr:colOff>506976</xdr:colOff>
      <xdr:row>48</xdr:row>
      <xdr:rowOff>161310</xdr:rowOff>
    </xdr:from>
    <xdr:to>
      <xdr:col>2</xdr:col>
      <xdr:colOff>1938266</xdr:colOff>
      <xdr:row>48</xdr:row>
      <xdr:rowOff>1454805</xdr:rowOff>
    </xdr:to>
    <xdr:pic>
      <xdr:nvPicPr>
        <xdr:cNvPr id="43" name="Image 3">
          <a:extLst>
            <a:ext uri="{FF2B5EF4-FFF2-40B4-BE49-F238E27FC236}">
              <a16:creationId xmlns:a16="http://schemas.microsoft.com/office/drawing/2014/main" id="{00000000-0008-0000-0000-00002B000000}"/>
            </a:ext>
          </a:extLst>
        </xdr:cNvPr>
        <xdr:cNvPicPr/>
      </xdr:nvPicPr>
      <xdr:blipFill>
        <a:blip xmlns:r="http://schemas.openxmlformats.org/officeDocument/2006/relationships" r:embed="rId41" cstate="print"/>
        <a:stretch>
          <a:fillRect/>
        </a:stretch>
      </xdr:blipFill>
      <xdr:spPr>
        <a:xfrm>
          <a:off x="3469251" y="85476735"/>
          <a:ext cx="1431290" cy="1293495"/>
        </a:xfrm>
        <a:prstGeom prst="rect">
          <a:avLst/>
        </a:prstGeom>
      </xdr:spPr>
    </xdr:pic>
    <xdr:clientData/>
  </xdr:twoCellAnchor>
  <xdr:twoCellAnchor editAs="oneCell">
    <xdr:from>
      <xdr:col>2</xdr:col>
      <xdr:colOff>530021</xdr:colOff>
      <xdr:row>49</xdr:row>
      <xdr:rowOff>23044</xdr:rowOff>
    </xdr:from>
    <xdr:to>
      <xdr:col>2</xdr:col>
      <xdr:colOff>1977821</xdr:colOff>
      <xdr:row>49</xdr:row>
      <xdr:rowOff>1747704</xdr:rowOff>
    </xdr:to>
    <xdr:pic>
      <xdr:nvPicPr>
        <xdr:cNvPr id="44" name="Image 2">
          <a:extLst>
            <a:ext uri="{FF2B5EF4-FFF2-40B4-BE49-F238E27FC236}">
              <a16:creationId xmlns:a16="http://schemas.microsoft.com/office/drawing/2014/main" id="{00000000-0008-0000-0000-00002C000000}"/>
            </a:ext>
          </a:extLst>
        </xdr:cNvPr>
        <xdr:cNvPicPr/>
      </xdr:nvPicPr>
      <xdr:blipFill>
        <a:blip xmlns:r="http://schemas.openxmlformats.org/officeDocument/2006/relationships" r:embed="rId42" cstate="print"/>
        <a:stretch>
          <a:fillRect/>
        </a:stretch>
      </xdr:blipFill>
      <xdr:spPr>
        <a:xfrm>
          <a:off x="3492296" y="87129169"/>
          <a:ext cx="1447800" cy="1724660"/>
        </a:xfrm>
        <a:prstGeom prst="rect">
          <a:avLst/>
        </a:prstGeom>
      </xdr:spPr>
    </xdr:pic>
    <xdr:clientData/>
  </xdr:twoCellAnchor>
  <xdr:twoCellAnchor editAs="oneCell">
    <xdr:from>
      <xdr:col>2</xdr:col>
      <xdr:colOff>652923</xdr:colOff>
      <xdr:row>50</xdr:row>
      <xdr:rowOff>184355</xdr:rowOff>
    </xdr:from>
    <xdr:to>
      <xdr:col>2</xdr:col>
      <xdr:colOff>2110248</xdr:colOff>
      <xdr:row>50</xdr:row>
      <xdr:rowOff>1573100</xdr:rowOff>
    </xdr:to>
    <xdr:pic>
      <xdr:nvPicPr>
        <xdr:cNvPr id="45" name="Imagen 44">
          <a:extLst>
            <a:ext uri="{FF2B5EF4-FFF2-40B4-BE49-F238E27FC236}">
              <a16:creationId xmlns:a16="http://schemas.microsoft.com/office/drawing/2014/main" id="{00000000-0008-0000-0000-00002D000000}"/>
            </a:ext>
          </a:extLst>
        </xdr:cNvPr>
        <xdr:cNvPicPr/>
      </xdr:nvPicPr>
      <xdr:blipFill>
        <a:blip xmlns:r="http://schemas.openxmlformats.org/officeDocument/2006/relationships" r:embed="rId43"/>
        <a:stretch>
          <a:fillRect/>
        </a:stretch>
      </xdr:blipFill>
      <xdr:spPr>
        <a:xfrm>
          <a:off x="3615198" y="89081180"/>
          <a:ext cx="1457325" cy="1388745"/>
        </a:xfrm>
        <a:prstGeom prst="rect">
          <a:avLst/>
        </a:prstGeom>
      </xdr:spPr>
    </xdr:pic>
    <xdr:clientData/>
  </xdr:twoCellAnchor>
  <xdr:twoCellAnchor editAs="oneCell">
    <xdr:from>
      <xdr:col>2</xdr:col>
      <xdr:colOff>568427</xdr:colOff>
      <xdr:row>51</xdr:row>
      <xdr:rowOff>168992</xdr:rowOff>
    </xdr:from>
    <xdr:to>
      <xdr:col>2</xdr:col>
      <xdr:colOff>2017497</xdr:colOff>
      <xdr:row>51</xdr:row>
      <xdr:rowOff>1531702</xdr:rowOff>
    </xdr:to>
    <xdr:pic>
      <xdr:nvPicPr>
        <xdr:cNvPr id="46" name="Imagen 45">
          <a:extLst>
            <a:ext uri="{FF2B5EF4-FFF2-40B4-BE49-F238E27FC236}">
              <a16:creationId xmlns:a16="http://schemas.microsoft.com/office/drawing/2014/main" id="{00000000-0008-0000-0000-00002E000000}"/>
            </a:ext>
          </a:extLst>
        </xdr:cNvPr>
        <xdr:cNvPicPr/>
      </xdr:nvPicPr>
      <xdr:blipFill>
        <a:blip xmlns:r="http://schemas.openxmlformats.org/officeDocument/2006/relationships" r:embed="rId44"/>
        <a:stretch>
          <a:fillRect/>
        </a:stretch>
      </xdr:blipFill>
      <xdr:spPr>
        <a:xfrm>
          <a:off x="3530702" y="90856517"/>
          <a:ext cx="1449070" cy="1362710"/>
        </a:xfrm>
        <a:prstGeom prst="rect">
          <a:avLst/>
        </a:prstGeom>
      </xdr:spPr>
    </xdr:pic>
    <xdr:clientData/>
  </xdr:twoCellAnchor>
  <xdr:twoCellAnchor editAs="oneCell">
    <xdr:from>
      <xdr:col>2</xdr:col>
      <xdr:colOff>522338</xdr:colOff>
      <xdr:row>52</xdr:row>
      <xdr:rowOff>284214</xdr:rowOff>
    </xdr:from>
    <xdr:to>
      <xdr:col>2</xdr:col>
      <xdr:colOff>1919338</xdr:colOff>
      <xdr:row>52</xdr:row>
      <xdr:rowOff>1444994</xdr:rowOff>
    </xdr:to>
    <xdr:pic>
      <xdr:nvPicPr>
        <xdr:cNvPr id="47" name="Imagen 46">
          <a:extLst>
            <a:ext uri="{FF2B5EF4-FFF2-40B4-BE49-F238E27FC236}">
              <a16:creationId xmlns:a16="http://schemas.microsoft.com/office/drawing/2014/main" id="{00000000-0008-0000-0000-00002F000000}"/>
            </a:ext>
          </a:extLst>
        </xdr:cNvPr>
        <xdr:cNvPicPr/>
      </xdr:nvPicPr>
      <xdr:blipFill>
        <a:blip xmlns:r="http://schemas.openxmlformats.org/officeDocument/2006/relationships" r:embed="rId45"/>
        <a:stretch>
          <a:fillRect/>
        </a:stretch>
      </xdr:blipFill>
      <xdr:spPr>
        <a:xfrm>
          <a:off x="3484613" y="92762439"/>
          <a:ext cx="1397000" cy="1160780"/>
        </a:xfrm>
        <a:prstGeom prst="rect">
          <a:avLst/>
        </a:prstGeom>
      </xdr:spPr>
    </xdr:pic>
    <xdr:clientData/>
  </xdr:twoCellAnchor>
  <mc:AlternateContent xmlns:mc="http://schemas.openxmlformats.org/markup-compatibility/2006">
    <mc:Choice xmlns:a14="http://schemas.microsoft.com/office/drawing/2010/main" Requires="a14">
      <xdr:twoCellAnchor>
        <xdr:from>
          <xdr:col>2</xdr:col>
          <xdr:colOff>609600</xdr:colOff>
          <xdr:row>53</xdr:row>
          <xdr:rowOff>180975</xdr:rowOff>
        </xdr:from>
        <xdr:to>
          <xdr:col>2</xdr:col>
          <xdr:colOff>2009775</xdr:colOff>
          <xdr:row>53</xdr:row>
          <xdr:rowOff>1447800</xdr:rowOff>
        </xdr:to>
        <xdr:sp macro="" textlink="">
          <xdr:nvSpPr>
            <xdr:cNvPr id="1026" name="Object 2" hidden="1">
              <a:extLst>
                <a:ext uri="{63B3BB69-23CF-44E3-9099-C40C66FF867C}">
                  <a14:compatExt spid="_x0000_s1026"/>
                </a:ext>
                <a:ext uri="{FF2B5EF4-FFF2-40B4-BE49-F238E27FC236}">
                  <a16:creationId xmlns:a16="http://schemas.microsoft.com/office/drawing/2014/main" id="{00000000-0008-0000-0000-000002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560745</xdr:colOff>
      <xdr:row>54</xdr:row>
      <xdr:rowOff>15362</xdr:rowOff>
    </xdr:from>
    <xdr:to>
      <xdr:col>2</xdr:col>
      <xdr:colOff>1983780</xdr:colOff>
      <xdr:row>54</xdr:row>
      <xdr:rowOff>1645407</xdr:rowOff>
    </xdr:to>
    <xdr:pic>
      <xdr:nvPicPr>
        <xdr:cNvPr id="49" name="Imagen 48">
          <a:extLst>
            <a:ext uri="{FF2B5EF4-FFF2-40B4-BE49-F238E27FC236}">
              <a16:creationId xmlns:a16="http://schemas.microsoft.com/office/drawing/2014/main" id="{00000000-0008-0000-0000-000031000000}"/>
            </a:ext>
          </a:extLst>
        </xdr:cNvPr>
        <xdr:cNvPicPr/>
      </xdr:nvPicPr>
      <xdr:blipFill>
        <a:blip xmlns:r="http://schemas.openxmlformats.org/officeDocument/2006/relationships" r:embed="rId46"/>
        <a:stretch>
          <a:fillRect/>
        </a:stretch>
      </xdr:blipFill>
      <xdr:spPr>
        <a:xfrm>
          <a:off x="3523020" y="96074987"/>
          <a:ext cx="1423035" cy="1630045"/>
        </a:xfrm>
        <a:prstGeom prst="rect">
          <a:avLst/>
        </a:prstGeom>
      </xdr:spPr>
    </xdr:pic>
    <xdr:clientData/>
  </xdr:twoCellAnchor>
  <xdr:twoCellAnchor editAs="oneCell">
    <xdr:from>
      <xdr:col>2</xdr:col>
      <xdr:colOff>652924</xdr:colOff>
      <xdr:row>55</xdr:row>
      <xdr:rowOff>268851</xdr:rowOff>
    </xdr:from>
    <xdr:to>
      <xdr:col>2</xdr:col>
      <xdr:colOff>2075959</xdr:colOff>
      <xdr:row>55</xdr:row>
      <xdr:rowOff>1519166</xdr:rowOff>
    </xdr:to>
    <xdr:pic>
      <xdr:nvPicPr>
        <xdr:cNvPr id="50" name="Imagen 49">
          <a:extLst>
            <a:ext uri="{FF2B5EF4-FFF2-40B4-BE49-F238E27FC236}">
              <a16:creationId xmlns:a16="http://schemas.microsoft.com/office/drawing/2014/main" id="{00000000-0008-0000-0000-000032000000}"/>
            </a:ext>
          </a:extLst>
        </xdr:cNvPr>
        <xdr:cNvPicPr/>
      </xdr:nvPicPr>
      <xdr:blipFill>
        <a:blip xmlns:r="http://schemas.openxmlformats.org/officeDocument/2006/relationships" r:embed="rId47"/>
        <a:stretch>
          <a:fillRect/>
        </a:stretch>
      </xdr:blipFill>
      <xdr:spPr>
        <a:xfrm>
          <a:off x="3615199" y="98119176"/>
          <a:ext cx="1423035" cy="1250315"/>
        </a:xfrm>
        <a:prstGeom prst="rect">
          <a:avLst/>
        </a:prstGeom>
      </xdr:spPr>
    </xdr:pic>
    <xdr:clientData/>
  </xdr:twoCellAnchor>
  <xdr:twoCellAnchor editAs="oneCell">
    <xdr:from>
      <xdr:col>2</xdr:col>
      <xdr:colOff>629879</xdr:colOff>
      <xdr:row>56</xdr:row>
      <xdr:rowOff>145947</xdr:rowOff>
    </xdr:from>
    <xdr:to>
      <xdr:col>2</xdr:col>
      <xdr:colOff>2070059</xdr:colOff>
      <xdr:row>56</xdr:row>
      <xdr:rowOff>1448967</xdr:rowOff>
    </xdr:to>
    <xdr:pic>
      <xdr:nvPicPr>
        <xdr:cNvPr id="51" name="Imagen 50">
          <a:extLst>
            <a:ext uri="{FF2B5EF4-FFF2-40B4-BE49-F238E27FC236}">
              <a16:creationId xmlns:a16="http://schemas.microsoft.com/office/drawing/2014/main" id="{00000000-0008-0000-0000-000033000000}"/>
            </a:ext>
          </a:extLst>
        </xdr:cNvPr>
        <xdr:cNvPicPr/>
      </xdr:nvPicPr>
      <xdr:blipFill>
        <a:blip xmlns:r="http://schemas.openxmlformats.org/officeDocument/2006/relationships" r:embed="rId48"/>
        <a:stretch>
          <a:fillRect/>
        </a:stretch>
      </xdr:blipFill>
      <xdr:spPr>
        <a:xfrm>
          <a:off x="3592154" y="99786972"/>
          <a:ext cx="1440180" cy="1303020"/>
        </a:xfrm>
        <a:prstGeom prst="rect">
          <a:avLst/>
        </a:prstGeom>
      </xdr:spPr>
    </xdr:pic>
    <xdr:clientData/>
  </xdr:twoCellAnchor>
  <xdr:twoCellAnchor editAs="oneCell">
    <xdr:from>
      <xdr:col>2</xdr:col>
      <xdr:colOff>622198</xdr:colOff>
      <xdr:row>57</xdr:row>
      <xdr:rowOff>107540</xdr:rowOff>
    </xdr:from>
    <xdr:to>
      <xdr:col>2</xdr:col>
      <xdr:colOff>1857497</xdr:colOff>
      <xdr:row>57</xdr:row>
      <xdr:rowOff>1582379</xdr:rowOff>
    </xdr:to>
    <xdr:pic>
      <xdr:nvPicPr>
        <xdr:cNvPr id="52" name="Imagen 51">
          <a:extLst>
            <a:ext uri="{FF2B5EF4-FFF2-40B4-BE49-F238E27FC236}">
              <a16:creationId xmlns:a16="http://schemas.microsoft.com/office/drawing/2014/main" id="{00000000-0008-0000-0000-000034000000}"/>
            </a:ext>
          </a:extLst>
        </xdr:cNvPr>
        <xdr:cNvPicPr/>
      </xdr:nvPicPr>
      <xdr:blipFill>
        <a:blip xmlns:r="http://schemas.openxmlformats.org/officeDocument/2006/relationships" r:embed="rId49"/>
        <a:stretch>
          <a:fillRect/>
        </a:stretch>
      </xdr:blipFill>
      <xdr:spPr>
        <a:xfrm>
          <a:off x="3584473" y="101539265"/>
          <a:ext cx="1235299" cy="1474839"/>
        </a:xfrm>
        <a:prstGeom prst="rect">
          <a:avLst/>
        </a:prstGeom>
      </xdr:spPr>
    </xdr:pic>
    <xdr:clientData/>
  </xdr:twoCellAnchor>
  <xdr:twoCellAnchor editAs="oneCell">
    <xdr:from>
      <xdr:col>2</xdr:col>
      <xdr:colOff>506975</xdr:colOff>
      <xdr:row>58</xdr:row>
      <xdr:rowOff>291895</xdr:rowOff>
    </xdr:from>
    <xdr:to>
      <xdr:col>2</xdr:col>
      <xdr:colOff>1930010</xdr:colOff>
      <xdr:row>58</xdr:row>
      <xdr:rowOff>1344090</xdr:rowOff>
    </xdr:to>
    <xdr:pic>
      <xdr:nvPicPr>
        <xdr:cNvPr id="53" name="Imagen 52">
          <a:extLst>
            <a:ext uri="{FF2B5EF4-FFF2-40B4-BE49-F238E27FC236}">
              <a16:creationId xmlns:a16="http://schemas.microsoft.com/office/drawing/2014/main" id="{00000000-0008-0000-0000-000035000000}"/>
            </a:ext>
          </a:extLst>
        </xdr:cNvPr>
        <xdr:cNvPicPr/>
      </xdr:nvPicPr>
      <xdr:blipFill>
        <a:blip xmlns:r="http://schemas.openxmlformats.org/officeDocument/2006/relationships" r:embed="rId50"/>
        <a:stretch>
          <a:fillRect/>
        </a:stretch>
      </xdr:blipFill>
      <xdr:spPr>
        <a:xfrm>
          <a:off x="3469250" y="103514320"/>
          <a:ext cx="1423035" cy="1052195"/>
        </a:xfrm>
        <a:prstGeom prst="rect">
          <a:avLst/>
        </a:prstGeom>
      </xdr:spPr>
    </xdr:pic>
    <xdr:clientData/>
  </xdr:twoCellAnchor>
  <xdr:twoCellAnchor editAs="oneCell">
    <xdr:from>
      <xdr:col>2</xdr:col>
      <xdr:colOff>530020</xdr:colOff>
      <xdr:row>59</xdr:row>
      <xdr:rowOff>15363</xdr:rowOff>
    </xdr:from>
    <xdr:to>
      <xdr:col>2</xdr:col>
      <xdr:colOff>1922329</xdr:colOff>
      <xdr:row>59</xdr:row>
      <xdr:rowOff>1736008</xdr:rowOff>
    </xdr:to>
    <xdr:pic>
      <xdr:nvPicPr>
        <xdr:cNvPr id="54" name="Imagen 53">
          <a:extLst>
            <a:ext uri="{FF2B5EF4-FFF2-40B4-BE49-F238E27FC236}">
              <a16:creationId xmlns:a16="http://schemas.microsoft.com/office/drawing/2014/main" id="{00000000-0008-0000-0000-000036000000}"/>
            </a:ext>
          </a:extLst>
        </xdr:cNvPr>
        <xdr:cNvPicPr/>
      </xdr:nvPicPr>
      <xdr:blipFill>
        <a:blip xmlns:r="http://schemas.openxmlformats.org/officeDocument/2006/relationships" r:embed="rId51"/>
        <a:stretch>
          <a:fillRect/>
        </a:stretch>
      </xdr:blipFill>
      <xdr:spPr>
        <a:xfrm>
          <a:off x="3492295" y="105028488"/>
          <a:ext cx="1392309" cy="1720645"/>
        </a:xfrm>
        <a:prstGeom prst="rect">
          <a:avLst/>
        </a:prstGeom>
      </xdr:spPr>
    </xdr:pic>
    <xdr:clientData/>
  </xdr:twoCellAnchor>
  <xdr:twoCellAnchor editAs="oneCell">
    <xdr:from>
      <xdr:col>2</xdr:col>
      <xdr:colOff>836942</xdr:colOff>
      <xdr:row>61</xdr:row>
      <xdr:rowOff>53771</xdr:rowOff>
    </xdr:from>
    <xdr:to>
      <xdr:col>2</xdr:col>
      <xdr:colOff>1833540</xdr:colOff>
      <xdr:row>61</xdr:row>
      <xdr:rowOff>1449916</xdr:rowOff>
    </xdr:to>
    <xdr:pic>
      <xdr:nvPicPr>
        <xdr:cNvPr id="55" name="Imagen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52"/>
        <a:stretch>
          <a:fillRect/>
        </a:stretch>
      </xdr:blipFill>
      <xdr:spPr>
        <a:xfrm>
          <a:off x="3800275" y="106913688"/>
          <a:ext cx="996598" cy="1396145"/>
        </a:xfrm>
        <a:prstGeom prst="rect">
          <a:avLst/>
        </a:prstGeom>
      </xdr:spPr>
    </xdr:pic>
    <xdr:clientData/>
  </xdr:twoCellAnchor>
  <xdr:twoCellAnchor editAs="oneCell">
    <xdr:from>
      <xdr:col>2</xdr:col>
      <xdr:colOff>606030</xdr:colOff>
      <xdr:row>62</xdr:row>
      <xdr:rowOff>245806</xdr:rowOff>
    </xdr:from>
    <xdr:to>
      <xdr:col>2</xdr:col>
      <xdr:colOff>2344105</xdr:colOff>
      <xdr:row>62</xdr:row>
      <xdr:rowOff>1571522</xdr:rowOff>
    </xdr:to>
    <xdr:pic>
      <xdr:nvPicPr>
        <xdr:cNvPr id="56" name="Imagen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53"/>
        <a:stretch>
          <a:fillRect/>
        </a:stretch>
      </xdr:blipFill>
      <xdr:spPr>
        <a:xfrm>
          <a:off x="3568305" y="108992731"/>
          <a:ext cx="1738075" cy="1325716"/>
        </a:xfrm>
        <a:prstGeom prst="rect">
          <a:avLst/>
        </a:prstGeom>
      </xdr:spPr>
    </xdr:pic>
    <xdr:clientData/>
  </xdr:twoCellAnchor>
  <xdr:twoCellAnchor editAs="oneCell">
    <xdr:from>
      <xdr:col>2</xdr:col>
      <xdr:colOff>849316</xdr:colOff>
      <xdr:row>64</xdr:row>
      <xdr:rowOff>92176</xdr:rowOff>
    </xdr:from>
    <xdr:to>
      <xdr:col>2</xdr:col>
      <xdr:colOff>1798264</xdr:colOff>
      <xdr:row>64</xdr:row>
      <xdr:rowOff>1758137</xdr:rowOff>
    </xdr:to>
    <xdr:pic>
      <xdr:nvPicPr>
        <xdr:cNvPr id="57" name="Imagen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54"/>
        <a:stretch>
          <a:fillRect/>
        </a:stretch>
      </xdr:blipFill>
      <xdr:spPr>
        <a:xfrm>
          <a:off x="3811591" y="110782201"/>
          <a:ext cx="948948" cy="1665961"/>
        </a:xfrm>
        <a:prstGeom prst="rect">
          <a:avLst/>
        </a:prstGeom>
      </xdr:spPr>
    </xdr:pic>
    <xdr:clientData/>
  </xdr:twoCellAnchor>
  <xdr:twoCellAnchor editAs="oneCell">
    <xdr:from>
      <xdr:col>2</xdr:col>
      <xdr:colOff>209246</xdr:colOff>
      <xdr:row>66</xdr:row>
      <xdr:rowOff>299577</xdr:rowOff>
    </xdr:from>
    <xdr:to>
      <xdr:col>2</xdr:col>
      <xdr:colOff>2476500</xdr:colOff>
      <xdr:row>66</xdr:row>
      <xdr:rowOff>1644719</xdr:rowOff>
    </xdr:to>
    <xdr:pic>
      <xdr:nvPicPr>
        <xdr:cNvPr id="58" name="Imagen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55"/>
        <a:stretch>
          <a:fillRect/>
        </a:stretch>
      </xdr:blipFill>
      <xdr:spPr>
        <a:xfrm>
          <a:off x="3172579" y="112821577"/>
          <a:ext cx="2267254" cy="1345142"/>
        </a:xfrm>
        <a:prstGeom prst="rect">
          <a:avLst/>
        </a:prstGeom>
      </xdr:spPr>
    </xdr:pic>
    <xdr:clientData/>
  </xdr:twoCellAnchor>
  <xdr:twoCellAnchor editAs="oneCell">
    <xdr:from>
      <xdr:col>2</xdr:col>
      <xdr:colOff>376392</xdr:colOff>
      <xdr:row>67</xdr:row>
      <xdr:rowOff>76815</xdr:rowOff>
    </xdr:from>
    <xdr:to>
      <xdr:col>2</xdr:col>
      <xdr:colOff>2039272</xdr:colOff>
      <xdr:row>67</xdr:row>
      <xdr:rowOff>1711025</xdr:rowOff>
    </xdr:to>
    <xdr:pic>
      <xdr:nvPicPr>
        <xdr:cNvPr id="59" name="Imagen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56"/>
        <a:stretch>
          <a:fillRect/>
        </a:stretch>
      </xdr:blipFill>
      <xdr:spPr>
        <a:xfrm>
          <a:off x="3338667" y="114500640"/>
          <a:ext cx="1662880" cy="1634210"/>
        </a:xfrm>
        <a:prstGeom prst="rect">
          <a:avLst/>
        </a:prstGeom>
      </xdr:spPr>
    </xdr:pic>
    <xdr:clientData/>
  </xdr:twoCellAnchor>
  <xdr:twoCellAnchor editAs="oneCell">
    <xdr:from>
      <xdr:col>2</xdr:col>
      <xdr:colOff>72639</xdr:colOff>
      <xdr:row>68</xdr:row>
      <xdr:rowOff>69133</xdr:rowOff>
    </xdr:from>
    <xdr:to>
      <xdr:col>2</xdr:col>
      <xdr:colOff>2531192</xdr:colOff>
      <xdr:row>68</xdr:row>
      <xdr:rowOff>1718846</xdr:rowOff>
    </xdr:to>
    <xdr:pic>
      <xdr:nvPicPr>
        <xdr:cNvPr id="60" name="Imagen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57"/>
        <a:stretch>
          <a:fillRect/>
        </a:stretch>
      </xdr:blipFill>
      <xdr:spPr>
        <a:xfrm>
          <a:off x="3034914" y="116283658"/>
          <a:ext cx="2458553" cy="1649713"/>
        </a:xfrm>
        <a:prstGeom prst="rect">
          <a:avLst/>
        </a:prstGeom>
      </xdr:spPr>
    </xdr:pic>
    <xdr:clientData/>
  </xdr:twoCellAnchor>
  <xdr:twoCellAnchor editAs="oneCell">
    <xdr:from>
      <xdr:col>2</xdr:col>
      <xdr:colOff>766773</xdr:colOff>
      <xdr:row>69</xdr:row>
      <xdr:rowOff>115220</xdr:rowOff>
    </xdr:from>
    <xdr:to>
      <xdr:col>2</xdr:col>
      <xdr:colOff>1803296</xdr:colOff>
      <xdr:row>69</xdr:row>
      <xdr:rowOff>1486575</xdr:rowOff>
    </xdr:to>
    <xdr:pic>
      <xdr:nvPicPr>
        <xdr:cNvPr id="61" name="Imagen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58"/>
        <a:stretch>
          <a:fillRect/>
        </a:stretch>
      </xdr:blipFill>
      <xdr:spPr>
        <a:xfrm>
          <a:off x="3729048" y="118120445"/>
          <a:ext cx="1036523" cy="1371355"/>
        </a:xfrm>
        <a:prstGeom prst="rect">
          <a:avLst/>
        </a:prstGeom>
      </xdr:spPr>
    </xdr:pic>
    <xdr:clientData/>
  </xdr:twoCellAnchor>
  <xdr:twoCellAnchor editAs="oneCell">
    <xdr:from>
      <xdr:col>2</xdr:col>
      <xdr:colOff>93776</xdr:colOff>
      <xdr:row>71</xdr:row>
      <xdr:rowOff>207397</xdr:rowOff>
    </xdr:from>
    <xdr:to>
      <xdr:col>2</xdr:col>
      <xdr:colOff>2573925</xdr:colOff>
      <xdr:row>71</xdr:row>
      <xdr:rowOff>1659192</xdr:rowOff>
    </xdr:to>
    <xdr:pic>
      <xdr:nvPicPr>
        <xdr:cNvPr id="62" name="Imagen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59"/>
        <a:stretch>
          <a:fillRect/>
        </a:stretch>
      </xdr:blipFill>
      <xdr:spPr>
        <a:xfrm>
          <a:off x="3056051" y="120155722"/>
          <a:ext cx="2480149" cy="1451795"/>
        </a:xfrm>
        <a:prstGeom prst="rect">
          <a:avLst/>
        </a:prstGeom>
      </xdr:spPr>
    </xdr:pic>
    <xdr:clientData/>
  </xdr:twoCellAnchor>
  <xdr:twoCellAnchor editAs="oneCell">
    <xdr:from>
      <xdr:col>2</xdr:col>
      <xdr:colOff>606835</xdr:colOff>
      <xdr:row>73</xdr:row>
      <xdr:rowOff>255682</xdr:rowOff>
    </xdr:from>
    <xdr:to>
      <xdr:col>2</xdr:col>
      <xdr:colOff>1994577</xdr:colOff>
      <xdr:row>73</xdr:row>
      <xdr:rowOff>1577341</xdr:rowOff>
    </xdr:to>
    <xdr:pic>
      <xdr:nvPicPr>
        <xdr:cNvPr id="63" name="Imagen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60"/>
        <a:stretch>
          <a:fillRect/>
        </a:stretch>
      </xdr:blipFill>
      <xdr:spPr>
        <a:xfrm>
          <a:off x="3569110" y="122328082"/>
          <a:ext cx="1387742" cy="1321659"/>
        </a:xfrm>
        <a:prstGeom prst="rect">
          <a:avLst/>
        </a:prstGeom>
      </xdr:spPr>
    </xdr:pic>
    <xdr:clientData/>
  </xdr:twoCellAnchor>
  <xdr:twoCellAnchor editAs="oneCell">
    <xdr:from>
      <xdr:col>2</xdr:col>
      <xdr:colOff>46090</xdr:colOff>
      <xdr:row>74</xdr:row>
      <xdr:rowOff>407118</xdr:rowOff>
    </xdr:from>
    <xdr:to>
      <xdr:col>2</xdr:col>
      <xdr:colOff>991417</xdr:colOff>
      <xdr:row>74</xdr:row>
      <xdr:rowOff>1377994</xdr:rowOff>
    </xdr:to>
    <xdr:pic>
      <xdr:nvPicPr>
        <xdr:cNvPr id="64" name="Imagen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61"/>
        <a:stretch>
          <a:fillRect/>
        </a:stretch>
      </xdr:blipFill>
      <xdr:spPr>
        <a:xfrm>
          <a:off x="3008365" y="124270218"/>
          <a:ext cx="945327" cy="970876"/>
        </a:xfrm>
        <a:prstGeom prst="rect">
          <a:avLst/>
        </a:prstGeom>
      </xdr:spPr>
    </xdr:pic>
    <xdr:clientData/>
  </xdr:twoCellAnchor>
  <xdr:twoCellAnchor editAs="oneCell">
    <xdr:from>
      <xdr:col>2</xdr:col>
      <xdr:colOff>1018549</xdr:colOff>
      <xdr:row>74</xdr:row>
      <xdr:rowOff>118772</xdr:rowOff>
    </xdr:from>
    <xdr:to>
      <xdr:col>2</xdr:col>
      <xdr:colOff>2524504</xdr:colOff>
      <xdr:row>74</xdr:row>
      <xdr:rowOff>1701902</xdr:rowOff>
    </xdr:to>
    <xdr:pic>
      <xdr:nvPicPr>
        <xdr:cNvPr id="65" name="Imagen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62"/>
        <a:stretch>
          <a:fillRect/>
        </a:stretch>
      </xdr:blipFill>
      <xdr:spPr>
        <a:xfrm>
          <a:off x="3980824" y="123981872"/>
          <a:ext cx="1505955" cy="1583130"/>
        </a:xfrm>
        <a:prstGeom prst="rect">
          <a:avLst/>
        </a:prstGeom>
      </xdr:spPr>
    </xdr:pic>
    <xdr:clientData/>
  </xdr:twoCellAnchor>
  <xdr:twoCellAnchor editAs="oneCell">
    <xdr:from>
      <xdr:col>2</xdr:col>
      <xdr:colOff>522339</xdr:colOff>
      <xdr:row>74</xdr:row>
      <xdr:rowOff>1751371</xdr:rowOff>
    </xdr:from>
    <xdr:to>
      <xdr:col>2</xdr:col>
      <xdr:colOff>1962519</xdr:colOff>
      <xdr:row>75</xdr:row>
      <xdr:rowOff>1631008</xdr:rowOff>
    </xdr:to>
    <xdr:pic>
      <xdr:nvPicPr>
        <xdr:cNvPr id="66" name="Imagen 65">
          <a:extLst>
            <a:ext uri="{FF2B5EF4-FFF2-40B4-BE49-F238E27FC236}">
              <a16:creationId xmlns:a16="http://schemas.microsoft.com/office/drawing/2014/main" id="{00000000-0008-0000-0000-000042000000}"/>
            </a:ext>
          </a:extLst>
        </xdr:cNvPr>
        <xdr:cNvPicPr/>
      </xdr:nvPicPr>
      <xdr:blipFill>
        <a:blip xmlns:r="http://schemas.openxmlformats.org/officeDocument/2006/relationships" r:embed="rId63"/>
        <a:stretch>
          <a:fillRect/>
        </a:stretch>
      </xdr:blipFill>
      <xdr:spPr>
        <a:xfrm>
          <a:off x="3484614" y="125614471"/>
          <a:ext cx="1440180" cy="1670337"/>
        </a:xfrm>
        <a:prstGeom prst="rect">
          <a:avLst/>
        </a:prstGeom>
      </xdr:spPr>
    </xdr:pic>
    <xdr:clientData/>
  </xdr:twoCellAnchor>
  <xdr:twoCellAnchor editAs="oneCell">
    <xdr:from>
      <xdr:col>2</xdr:col>
      <xdr:colOff>222762</xdr:colOff>
      <xdr:row>76</xdr:row>
      <xdr:rowOff>84496</xdr:rowOff>
    </xdr:from>
    <xdr:to>
      <xdr:col>2</xdr:col>
      <xdr:colOff>2166170</xdr:colOff>
      <xdr:row>76</xdr:row>
      <xdr:rowOff>1597743</xdr:rowOff>
    </xdr:to>
    <xdr:pic>
      <xdr:nvPicPr>
        <xdr:cNvPr id="67" name="Image 1">
          <a:extLst>
            <a:ext uri="{FF2B5EF4-FFF2-40B4-BE49-F238E27FC236}">
              <a16:creationId xmlns:a16="http://schemas.microsoft.com/office/drawing/2014/main" id="{00000000-0008-0000-0000-000043000000}"/>
            </a:ext>
          </a:extLst>
        </xdr:cNvPr>
        <xdr:cNvPicPr/>
      </xdr:nvPicPr>
      <xdr:blipFill>
        <a:blip xmlns:r="http://schemas.openxmlformats.org/officeDocument/2006/relationships" r:embed="rId64" cstate="print"/>
        <a:stretch>
          <a:fillRect/>
        </a:stretch>
      </xdr:blipFill>
      <xdr:spPr>
        <a:xfrm>
          <a:off x="3185037" y="127528996"/>
          <a:ext cx="1943408" cy="1513247"/>
        </a:xfrm>
        <a:prstGeom prst="rect">
          <a:avLst/>
        </a:prstGeom>
      </xdr:spPr>
    </xdr:pic>
    <xdr:clientData/>
  </xdr:twoCellAnchor>
  <xdr:twoCellAnchor editAs="oneCell">
    <xdr:from>
      <xdr:col>2</xdr:col>
      <xdr:colOff>230443</xdr:colOff>
      <xdr:row>78</xdr:row>
      <xdr:rowOff>7681</xdr:rowOff>
    </xdr:from>
    <xdr:to>
      <xdr:col>2</xdr:col>
      <xdr:colOff>2481109</xdr:colOff>
      <xdr:row>78</xdr:row>
      <xdr:rowOff>1620786</xdr:rowOff>
    </xdr:to>
    <xdr:pic>
      <xdr:nvPicPr>
        <xdr:cNvPr id="68" name="Imagen 67">
          <a:extLst>
            <a:ext uri="{FF2B5EF4-FFF2-40B4-BE49-F238E27FC236}">
              <a16:creationId xmlns:a16="http://schemas.microsoft.com/office/drawing/2014/main" id="{00000000-0008-0000-0000-000044000000}"/>
            </a:ext>
          </a:extLst>
        </xdr:cNvPr>
        <xdr:cNvPicPr/>
      </xdr:nvPicPr>
      <xdr:blipFill>
        <a:blip xmlns:r="http://schemas.openxmlformats.org/officeDocument/2006/relationships" r:embed="rId65"/>
        <a:stretch>
          <a:fillRect/>
        </a:stretch>
      </xdr:blipFill>
      <xdr:spPr>
        <a:xfrm>
          <a:off x="3192718" y="129395281"/>
          <a:ext cx="2250666" cy="1613105"/>
        </a:xfrm>
        <a:prstGeom prst="rect">
          <a:avLst/>
        </a:prstGeom>
      </xdr:spPr>
    </xdr:pic>
    <xdr:clientData/>
  </xdr:twoCellAnchor>
  <xdr:twoCellAnchor editAs="oneCell">
    <xdr:from>
      <xdr:col>2</xdr:col>
      <xdr:colOff>120171</xdr:colOff>
      <xdr:row>80</xdr:row>
      <xdr:rowOff>337983</xdr:rowOff>
    </xdr:from>
    <xdr:to>
      <xdr:col>2</xdr:col>
      <xdr:colOff>1241356</xdr:colOff>
      <xdr:row>80</xdr:row>
      <xdr:rowOff>1415122</xdr:rowOff>
    </xdr:to>
    <xdr:pic>
      <xdr:nvPicPr>
        <xdr:cNvPr id="69" name="Imagen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66"/>
        <a:stretch>
          <a:fillRect/>
        </a:stretch>
      </xdr:blipFill>
      <xdr:spPr>
        <a:xfrm>
          <a:off x="3082446" y="131668683"/>
          <a:ext cx="1121185" cy="1077139"/>
        </a:xfrm>
        <a:prstGeom prst="rect">
          <a:avLst/>
        </a:prstGeom>
      </xdr:spPr>
    </xdr:pic>
    <xdr:clientData/>
  </xdr:twoCellAnchor>
  <xdr:twoCellAnchor editAs="oneCell">
    <xdr:from>
      <xdr:col>2</xdr:col>
      <xdr:colOff>1231152</xdr:colOff>
      <xdr:row>80</xdr:row>
      <xdr:rowOff>305367</xdr:rowOff>
    </xdr:from>
    <xdr:to>
      <xdr:col>2</xdr:col>
      <xdr:colOff>2417016</xdr:colOff>
      <xdr:row>80</xdr:row>
      <xdr:rowOff>1375793</xdr:rowOff>
    </xdr:to>
    <xdr:pic>
      <xdr:nvPicPr>
        <xdr:cNvPr id="70" name="Imagen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67"/>
        <a:stretch>
          <a:fillRect/>
        </a:stretch>
      </xdr:blipFill>
      <xdr:spPr>
        <a:xfrm>
          <a:off x="4193427" y="131636067"/>
          <a:ext cx="1185864" cy="1070426"/>
        </a:xfrm>
        <a:prstGeom prst="rect">
          <a:avLst/>
        </a:prstGeom>
      </xdr:spPr>
    </xdr:pic>
    <xdr:clientData/>
  </xdr:twoCellAnchor>
  <xdr:twoCellAnchor editAs="oneCell">
    <xdr:from>
      <xdr:col>2</xdr:col>
      <xdr:colOff>499295</xdr:colOff>
      <xdr:row>82</xdr:row>
      <xdr:rowOff>46088</xdr:rowOff>
    </xdr:from>
    <xdr:to>
      <xdr:col>2</xdr:col>
      <xdr:colOff>2227621</xdr:colOff>
      <xdr:row>82</xdr:row>
      <xdr:rowOff>1728325</xdr:rowOff>
    </xdr:to>
    <xdr:pic>
      <xdr:nvPicPr>
        <xdr:cNvPr id="71" name="Imagen 70">
          <a:extLst>
            <a:ext uri="{FF2B5EF4-FFF2-40B4-BE49-F238E27FC236}">
              <a16:creationId xmlns:a16="http://schemas.microsoft.com/office/drawing/2014/main" id="{00000000-0008-0000-0000-000047000000}"/>
            </a:ext>
          </a:extLst>
        </xdr:cNvPr>
        <xdr:cNvPicPr/>
      </xdr:nvPicPr>
      <xdr:blipFill>
        <a:blip xmlns:r="http://schemas.openxmlformats.org/officeDocument/2006/relationships" r:embed="rId68"/>
        <a:stretch>
          <a:fillRect/>
        </a:stretch>
      </xdr:blipFill>
      <xdr:spPr>
        <a:xfrm>
          <a:off x="3461570" y="133319888"/>
          <a:ext cx="1728326" cy="1682237"/>
        </a:xfrm>
        <a:prstGeom prst="rect">
          <a:avLst/>
        </a:prstGeom>
      </xdr:spPr>
    </xdr:pic>
    <xdr:clientData/>
  </xdr:twoCellAnchor>
  <xdr:twoCellAnchor editAs="oneCell">
    <xdr:from>
      <xdr:col>2</xdr:col>
      <xdr:colOff>215080</xdr:colOff>
      <xdr:row>83</xdr:row>
      <xdr:rowOff>153629</xdr:rowOff>
    </xdr:from>
    <xdr:to>
      <xdr:col>2</xdr:col>
      <xdr:colOff>2496471</xdr:colOff>
      <xdr:row>83</xdr:row>
      <xdr:rowOff>1666875</xdr:rowOff>
    </xdr:to>
    <xdr:pic>
      <xdr:nvPicPr>
        <xdr:cNvPr id="72" name="Imagen 71">
          <a:extLst>
            <a:ext uri="{FF2B5EF4-FFF2-40B4-BE49-F238E27FC236}">
              <a16:creationId xmlns:a16="http://schemas.microsoft.com/office/drawing/2014/main" id="{00000000-0008-0000-0000-000048000000}"/>
            </a:ext>
          </a:extLst>
        </xdr:cNvPr>
        <xdr:cNvPicPr/>
      </xdr:nvPicPr>
      <xdr:blipFill>
        <a:blip xmlns:r="http://schemas.openxmlformats.org/officeDocument/2006/relationships" r:embed="rId69"/>
        <a:stretch>
          <a:fillRect/>
        </a:stretch>
      </xdr:blipFill>
      <xdr:spPr>
        <a:xfrm>
          <a:off x="3177355" y="135218129"/>
          <a:ext cx="2281391" cy="1513246"/>
        </a:xfrm>
        <a:prstGeom prst="rect">
          <a:avLst/>
        </a:prstGeom>
      </xdr:spPr>
    </xdr:pic>
    <xdr:clientData/>
  </xdr:twoCellAnchor>
  <xdr:twoCellAnchor editAs="oneCell">
    <xdr:from>
      <xdr:col>2</xdr:col>
      <xdr:colOff>553064</xdr:colOff>
      <xdr:row>84</xdr:row>
      <xdr:rowOff>53770</xdr:rowOff>
    </xdr:from>
    <xdr:to>
      <xdr:col>2</xdr:col>
      <xdr:colOff>1920219</xdr:colOff>
      <xdr:row>84</xdr:row>
      <xdr:rowOff>1629205</xdr:rowOff>
    </xdr:to>
    <xdr:pic>
      <xdr:nvPicPr>
        <xdr:cNvPr id="73" name="Imagen 72">
          <a:extLst>
            <a:ext uri="{FF2B5EF4-FFF2-40B4-BE49-F238E27FC236}">
              <a16:creationId xmlns:a16="http://schemas.microsoft.com/office/drawing/2014/main" id="{00000000-0008-0000-0000-000049000000}"/>
            </a:ext>
          </a:extLst>
        </xdr:cNvPr>
        <xdr:cNvPicPr/>
      </xdr:nvPicPr>
      <xdr:blipFill>
        <a:blip xmlns:r="http://schemas.openxmlformats.org/officeDocument/2006/relationships" r:embed="rId70"/>
        <a:stretch>
          <a:fillRect/>
        </a:stretch>
      </xdr:blipFill>
      <xdr:spPr>
        <a:xfrm>
          <a:off x="3515339" y="136908970"/>
          <a:ext cx="1367155" cy="1575435"/>
        </a:xfrm>
        <a:prstGeom prst="rect">
          <a:avLst/>
        </a:prstGeom>
      </xdr:spPr>
    </xdr:pic>
    <xdr:clientData/>
  </xdr:twoCellAnchor>
  <xdr:twoCellAnchor editAs="oneCell">
    <xdr:from>
      <xdr:col>2</xdr:col>
      <xdr:colOff>691331</xdr:colOff>
      <xdr:row>86</xdr:row>
      <xdr:rowOff>61451</xdr:rowOff>
    </xdr:from>
    <xdr:to>
      <xdr:col>2</xdr:col>
      <xdr:colOff>1937836</xdr:colOff>
      <xdr:row>86</xdr:row>
      <xdr:rowOff>1651491</xdr:rowOff>
    </xdr:to>
    <xdr:pic>
      <xdr:nvPicPr>
        <xdr:cNvPr id="74" name="Imagen 73">
          <a:extLst>
            <a:ext uri="{FF2B5EF4-FFF2-40B4-BE49-F238E27FC236}">
              <a16:creationId xmlns:a16="http://schemas.microsoft.com/office/drawing/2014/main" id="{00000000-0008-0000-0000-00004A000000}"/>
            </a:ext>
          </a:extLst>
        </xdr:cNvPr>
        <xdr:cNvPicPr/>
      </xdr:nvPicPr>
      <xdr:blipFill>
        <a:blip xmlns:r="http://schemas.openxmlformats.org/officeDocument/2006/relationships" r:embed="rId71"/>
        <a:stretch>
          <a:fillRect/>
        </a:stretch>
      </xdr:blipFill>
      <xdr:spPr>
        <a:xfrm>
          <a:off x="3653606" y="138859751"/>
          <a:ext cx="1246505" cy="1590040"/>
        </a:xfrm>
        <a:prstGeom prst="rect">
          <a:avLst/>
        </a:prstGeom>
      </xdr:spPr>
    </xdr:pic>
    <xdr:clientData/>
  </xdr:twoCellAnchor>
  <xdr:twoCellAnchor editAs="oneCell">
    <xdr:from>
      <xdr:col>2</xdr:col>
      <xdr:colOff>652924</xdr:colOff>
      <xdr:row>87</xdr:row>
      <xdr:rowOff>15363</xdr:rowOff>
    </xdr:from>
    <xdr:to>
      <xdr:col>2</xdr:col>
      <xdr:colOff>1791479</xdr:colOff>
      <xdr:row>87</xdr:row>
      <xdr:rowOff>1597742</xdr:rowOff>
    </xdr:to>
    <xdr:pic>
      <xdr:nvPicPr>
        <xdr:cNvPr id="75" name="Imagen 74">
          <a:extLst>
            <a:ext uri="{FF2B5EF4-FFF2-40B4-BE49-F238E27FC236}">
              <a16:creationId xmlns:a16="http://schemas.microsoft.com/office/drawing/2014/main" id="{00000000-0008-0000-0000-00004B000000}"/>
            </a:ext>
          </a:extLst>
        </xdr:cNvPr>
        <xdr:cNvPicPr/>
      </xdr:nvPicPr>
      <xdr:blipFill>
        <a:blip xmlns:r="http://schemas.openxmlformats.org/officeDocument/2006/relationships" r:embed="rId72"/>
        <a:stretch>
          <a:fillRect/>
        </a:stretch>
      </xdr:blipFill>
      <xdr:spPr>
        <a:xfrm>
          <a:off x="3615199" y="140604363"/>
          <a:ext cx="1138555" cy="1582379"/>
        </a:xfrm>
        <a:prstGeom prst="rect">
          <a:avLst/>
        </a:prstGeom>
      </xdr:spPr>
    </xdr:pic>
    <xdr:clientData/>
  </xdr:twoCellAnchor>
  <xdr:twoCellAnchor editAs="oneCell">
    <xdr:from>
      <xdr:col>2</xdr:col>
      <xdr:colOff>445525</xdr:colOff>
      <xdr:row>88</xdr:row>
      <xdr:rowOff>53771</xdr:rowOff>
    </xdr:from>
    <xdr:to>
      <xdr:col>2</xdr:col>
      <xdr:colOff>2258347</xdr:colOff>
      <xdr:row>88</xdr:row>
      <xdr:rowOff>1682238</xdr:rowOff>
    </xdr:to>
    <xdr:pic>
      <xdr:nvPicPr>
        <xdr:cNvPr id="76" name="Imagen 75">
          <a:extLst>
            <a:ext uri="{FF2B5EF4-FFF2-40B4-BE49-F238E27FC236}">
              <a16:creationId xmlns:a16="http://schemas.microsoft.com/office/drawing/2014/main" id="{00000000-0008-0000-0000-00004C000000}"/>
            </a:ext>
          </a:extLst>
        </xdr:cNvPr>
        <xdr:cNvPicPr/>
      </xdr:nvPicPr>
      <xdr:blipFill>
        <a:blip xmlns:r="http://schemas.openxmlformats.org/officeDocument/2006/relationships" r:embed="rId73"/>
        <a:stretch>
          <a:fillRect/>
        </a:stretch>
      </xdr:blipFill>
      <xdr:spPr>
        <a:xfrm>
          <a:off x="3407800" y="142433471"/>
          <a:ext cx="1812822" cy="1628467"/>
        </a:xfrm>
        <a:prstGeom prst="rect">
          <a:avLst/>
        </a:prstGeom>
      </xdr:spPr>
    </xdr:pic>
    <xdr:clientData/>
  </xdr:twoCellAnchor>
  <xdr:twoCellAnchor editAs="oneCell">
    <xdr:from>
      <xdr:col>2</xdr:col>
      <xdr:colOff>735783</xdr:colOff>
      <xdr:row>88</xdr:row>
      <xdr:rowOff>1788522</xdr:rowOff>
    </xdr:from>
    <xdr:to>
      <xdr:col>2</xdr:col>
      <xdr:colOff>1879398</xdr:colOff>
      <xdr:row>89</xdr:row>
      <xdr:rowOff>1510173</xdr:rowOff>
    </xdr:to>
    <xdr:pic>
      <xdr:nvPicPr>
        <xdr:cNvPr id="77" name="Imagen 76">
          <a:extLst>
            <a:ext uri="{FF2B5EF4-FFF2-40B4-BE49-F238E27FC236}">
              <a16:creationId xmlns:a16="http://schemas.microsoft.com/office/drawing/2014/main" id="{00000000-0008-0000-0000-00004D000000}"/>
            </a:ext>
          </a:extLst>
        </xdr:cNvPr>
        <xdr:cNvPicPr/>
      </xdr:nvPicPr>
      <xdr:blipFill>
        <a:blip xmlns:r="http://schemas.openxmlformats.org/officeDocument/2006/relationships" r:embed="rId74"/>
        <a:stretch>
          <a:fillRect/>
        </a:stretch>
      </xdr:blipFill>
      <xdr:spPr>
        <a:xfrm rot="20663579">
          <a:off x="3698058" y="144168222"/>
          <a:ext cx="1143615" cy="1512351"/>
        </a:xfrm>
        <a:prstGeom prst="rect">
          <a:avLst/>
        </a:prstGeom>
      </xdr:spPr>
    </xdr:pic>
    <xdr:clientData/>
  </xdr:twoCellAnchor>
  <xdr:twoCellAnchor editAs="oneCell">
    <xdr:from>
      <xdr:col>2</xdr:col>
      <xdr:colOff>706693</xdr:colOff>
      <xdr:row>90</xdr:row>
      <xdr:rowOff>92177</xdr:rowOff>
    </xdr:from>
    <xdr:to>
      <xdr:col>2</xdr:col>
      <xdr:colOff>2113853</xdr:colOff>
      <xdr:row>90</xdr:row>
      <xdr:rowOff>1642212</xdr:rowOff>
    </xdr:to>
    <xdr:pic>
      <xdr:nvPicPr>
        <xdr:cNvPr id="78" name="Imagen 77">
          <a:extLst>
            <a:ext uri="{FF2B5EF4-FFF2-40B4-BE49-F238E27FC236}">
              <a16:creationId xmlns:a16="http://schemas.microsoft.com/office/drawing/2014/main" id="{00000000-0008-0000-0000-00004E000000}"/>
            </a:ext>
          </a:extLst>
        </xdr:cNvPr>
        <xdr:cNvPicPr/>
      </xdr:nvPicPr>
      <xdr:blipFill>
        <a:blip xmlns:r="http://schemas.openxmlformats.org/officeDocument/2006/relationships" r:embed="rId75"/>
        <a:stretch>
          <a:fillRect/>
        </a:stretch>
      </xdr:blipFill>
      <xdr:spPr>
        <a:xfrm>
          <a:off x="3668968" y="146053277"/>
          <a:ext cx="1407160" cy="1550035"/>
        </a:xfrm>
        <a:prstGeom prst="rect">
          <a:avLst/>
        </a:prstGeom>
      </xdr:spPr>
    </xdr:pic>
    <xdr:clientData/>
  </xdr:twoCellAnchor>
  <xdr:twoCellAnchor editAs="oneCell">
    <xdr:from>
      <xdr:col>2</xdr:col>
      <xdr:colOff>176673</xdr:colOff>
      <xdr:row>91</xdr:row>
      <xdr:rowOff>84496</xdr:rowOff>
    </xdr:from>
    <xdr:to>
      <xdr:col>2</xdr:col>
      <xdr:colOff>2442702</xdr:colOff>
      <xdr:row>91</xdr:row>
      <xdr:rowOff>1559335</xdr:rowOff>
    </xdr:to>
    <xdr:pic>
      <xdr:nvPicPr>
        <xdr:cNvPr id="79" name="Imagen 78">
          <a:extLst>
            <a:ext uri="{FF2B5EF4-FFF2-40B4-BE49-F238E27FC236}">
              <a16:creationId xmlns:a16="http://schemas.microsoft.com/office/drawing/2014/main" id="{00000000-0008-0000-0000-00004F000000}"/>
            </a:ext>
          </a:extLst>
        </xdr:cNvPr>
        <xdr:cNvPicPr/>
      </xdr:nvPicPr>
      <xdr:blipFill>
        <a:blip xmlns:r="http://schemas.openxmlformats.org/officeDocument/2006/relationships" r:embed="rId76"/>
        <a:stretch>
          <a:fillRect/>
        </a:stretch>
      </xdr:blipFill>
      <xdr:spPr>
        <a:xfrm>
          <a:off x="3138948" y="147836296"/>
          <a:ext cx="2266029" cy="1474839"/>
        </a:xfrm>
        <a:prstGeom prst="rect">
          <a:avLst/>
        </a:prstGeom>
      </xdr:spPr>
    </xdr:pic>
    <xdr:clientData/>
  </xdr:twoCellAnchor>
  <xdr:twoCellAnchor editAs="oneCell">
    <xdr:from>
      <xdr:col>2</xdr:col>
      <xdr:colOff>391754</xdr:colOff>
      <xdr:row>92</xdr:row>
      <xdr:rowOff>76814</xdr:rowOff>
    </xdr:from>
    <xdr:to>
      <xdr:col>2</xdr:col>
      <xdr:colOff>2312117</xdr:colOff>
      <xdr:row>92</xdr:row>
      <xdr:rowOff>1528609</xdr:rowOff>
    </xdr:to>
    <xdr:pic>
      <xdr:nvPicPr>
        <xdr:cNvPr id="80" name="Imagen 79">
          <a:extLst>
            <a:ext uri="{FF2B5EF4-FFF2-40B4-BE49-F238E27FC236}">
              <a16:creationId xmlns:a16="http://schemas.microsoft.com/office/drawing/2014/main" id="{00000000-0008-0000-0000-000050000000}"/>
            </a:ext>
          </a:extLst>
        </xdr:cNvPr>
        <xdr:cNvPicPr/>
      </xdr:nvPicPr>
      <xdr:blipFill>
        <a:blip xmlns:r="http://schemas.openxmlformats.org/officeDocument/2006/relationships" r:embed="rId77"/>
        <a:stretch>
          <a:fillRect/>
        </a:stretch>
      </xdr:blipFill>
      <xdr:spPr>
        <a:xfrm>
          <a:off x="3354029" y="149619314"/>
          <a:ext cx="1920363" cy="1451795"/>
        </a:xfrm>
        <a:prstGeom prst="rect">
          <a:avLst/>
        </a:prstGeom>
      </xdr:spPr>
    </xdr:pic>
    <xdr:clientData/>
  </xdr:twoCellAnchor>
  <xdr:twoCellAnchor editAs="oneCell">
    <xdr:from>
      <xdr:col>2</xdr:col>
      <xdr:colOff>675967</xdr:colOff>
      <xdr:row>92</xdr:row>
      <xdr:rowOff>1789778</xdr:rowOff>
    </xdr:from>
    <xdr:to>
      <xdr:col>2</xdr:col>
      <xdr:colOff>1974133</xdr:colOff>
      <xdr:row>93</xdr:row>
      <xdr:rowOff>1743690</xdr:rowOff>
    </xdr:to>
    <xdr:pic>
      <xdr:nvPicPr>
        <xdr:cNvPr id="81" name="Imagen 80">
          <a:extLst>
            <a:ext uri="{FF2B5EF4-FFF2-40B4-BE49-F238E27FC236}">
              <a16:creationId xmlns:a16="http://schemas.microsoft.com/office/drawing/2014/main" id="{00000000-0008-0000-0000-000051000000}"/>
            </a:ext>
          </a:extLst>
        </xdr:cNvPr>
        <xdr:cNvPicPr/>
      </xdr:nvPicPr>
      <xdr:blipFill>
        <a:blip xmlns:r="http://schemas.openxmlformats.org/officeDocument/2006/relationships" r:embed="rId78"/>
        <a:stretch>
          <a:fillRect/>
        </a:stretch>
      </xdr:blipFill>
      <xdr:spPr>
        <a:xfrm>
          <a:off x="3638242" y="151332278"/>
          <a:ext cx="1298166" cy="1744612"/>
        </a:xfrm>
        <a:prstGeom prst="rect">
          <a:avLst/>
        </a:prstGeom>
      </xdr:spPr>
    </xdr:pic>
    <xdr:clientData/>
  </xdr:twoCellAnchor>
  <xdr:twoCellAnchor editAs="oneCell">
    <xdr:from>
      <xdr:col>2</xdr:col>
      <xdr:colOff>729738</xdr:colOff>
      <xdr:row>94</xdr:row>
      <xdr:rowOff>84496</xdr:rowOff>
    </xdr:from>
    <xdr:to>
      <xdr:col>2</xdr:col>
      <xdr:colOff>1762248</xdr:colOff>
      <xdr:row>94</xdr:row>
      <xdr:rowOff>1698666</xdr:rowOff>
    </xdr:to>
    <xdr:pic>
      <xdr:nvPicPr>
        <xdr:cNvPr id="82" name="Imagen 81">
          <a:extLst>
            <a:ext uri="{FF2B5EF4-FFF2-40B4-BE49-F238E27FC236}">
              <a16:creationId xmlns:a16="http://schemas.microsoft.com/office/drawing/2014/main" id="{00000000-0008-0000-0000-000052000000}"/>
            </a:ext>
          </a:extLst>
        </xdr:cNvPr>
        <xdr:cNvPicPr/>
      </xdr:nvPicPr>
      <xdr:blipFill>
        <a:blip xmlns:r="http://schemas.openxmlformats.org/officeDocument/2006/relationships" r:embed="rId79"/>
        <a:stretch>
          <a:fillRect/>
        </a:stretch>
      </xdr:blipFill>
      <xdr:spPr>
        <a:xfrm>
          <a:off x="3692013" y="153208396"/>
          <a:ext cx="1032510" cy="1614170"/>
        </a:xfrm>
        <a:prstGeom prst="rect">
          <a:avLst/>
        </a:prstGeom>
      </xdr:spPr>
    </xdr:pic>
    <xdr:clientData/>
  </xdr:twoCellAnchor>
  <xdr:twoCellAnchor editAs="oneCell">
    <xdr:from>
      <xdr:col>2</xdr:col>
      <xdr:colOff>384072</xdr:colOff>
      <xdr:row>95</xdr:row>
      <xdr:rowOff>84495</xdr:rowOff>
    </xdr:from>
    <xdr:to>
      <xdr:col>2</xdr:col>
      <xdr:colOff>2312117</xdr:colOff>
      <xdr:row>95</xdr:row>
      <xdr:rowOff>1559334</xdr:rowOff>
    </xdr:to>
    <xdr:pic>
      <xdr:nvPicPr>
        <xdr:cNvPr id="83" name="Imagen 82">
          <a:extLst>
            <a:ext uri="{FF2B5EF4-FFF2-40B4-BE49-F238E27FC236}">
              <a16:creationId xmlns:a16="http://schemas.microsoft.com/office/drawing/2014/main" id="{00000000-0008-0000-0000-000053000000}"/>
            </a:ext>
          </a:extLst>
        </xdr:cNvPr>
        <xdr:cNvPicPr/>
      </xdr:nvPicPr>
      <xdr:blipFill>
        <a:blip xmlns:r="http://schemas.openxmlformats.org/officeDocument/2006/relationships" r:embed="rId80"/>
        <a:stretch>
          <a:fillRect/>
        </a:stretch>
      </xdr:blipFill>
      <xdr:spPr>
        <a:xfrm>
          <a:off x="3346347" y="154999095"/>
          <a:ext cx="1928045" cy="1474839"/>
        </a:xfrm>
        <a:prstGeom prst="rect">
          <a:avLst/>
        </a:prstGeom>
      </xdr:spPr>
    </xdr:pic>
    <xdr:clientData/>
  </xdr:twoCellAnchor>
  <xdr:twoCellAnchor editAs="oneCell">
    <xdr:from>
      <xdr:col>2</xdr:col>
      <xdr:colOff>599153</xdr:colOff>
      <xdr:row>96</xdr:row>
      <xdr:rowOff>76814</xdr:rowOff>
    </xdr:from>
    <xdr:to>
      <xdr:col>2</xdr:col>
      <xdr:colOff>1845658</xdr:colOff>
      <xdr:row>96</xdr:row>
      <xdr:rowOff>1666854</xdr:rowOff>
    </xdr:to>
    <xdr:pic>
      <xdr:nvPicPr>
        <xdr:cNvPr id="84" name="Imagen 83">
          <a:extLst>
            <a:ext uri="{FF2B5EF4-FFF2-40B4-BE49-F238E27FC236}">
              <a16:creationId xmlns:a16="http://schemas.microsoft.com/office/drawing/2014/main" id="{00000000-0008-0000-0000-000054000000}"/>
            </a:ext>
          </a:extLst>
        </xdr:cNvPr>
        <xdr:cNvPicPr/>
      </xdr:nvPicPr>
      <xdr:blipFill>
        <a:blip xmlns:r="http://schemas.openxmlformats.org/officeDocument/2006/relationships" r:embed="rId71"/>
        <a:stretch>
          <a:fillRect/>
        </a:stretch>
      </xdr:blipFill>
      <xdr:spPr>
        <a:xfrm>
          <a:off x="3561428" y="156782114"/>
          <a:ext cx="1246505" cy="1590040"/>
        </a:xfrm>
        <a:prstGeom prst="rect">
          <a:avLst/>
        </a:prstGeom>
      </xdr:spPr>
    </xdr:pic>
    <xdr:clientData/>
  </xdr:twoCellAnchor>
  <xdr:twoCellAnchor editAs="oneCell">
    <xdr:from>
      <xdr:col>2</xdr:col>
      <xdr:colOff>706693</xdr:colOff>
      <xdr:row>97</xdr:row>
      <xdr:rowOff>61451</xdr:rowOff>
    </xdr:from>
    <xdr:to>
      <xdr:col>2</xdr:col>
      <xdr:colOff>1859218</xdr:colOff>
      <xdr:row>97</xdr:row>
      <xdr:rowOff>1690861</xdr:rowOff>
    </xdr:to>
    <xdr:pic>
      <xdr:nvPicPr>
        <xdr:cNvPr id="85" name="Imagen 84">
          <a:extLst>
            <a:ext uri="{FF2B5EF4-FFF2-40B4-BE49-F238E27FC236}">
              <a16:creationId xmlns:a16="http://schemas.microsoft.com/office/drawing/2014/main" id="{00000000-0008-0000-0000-000055000000}"/>
            </a:ext>
          </a:extLst>
        </xdr:cNvPr>
        <xdr:cNvPicPr/>
      </xdr:nvPicPr>
      <xdr:blipFill>
        <a:blip xmlns:r="http://schemas.openxmlformats.org/officeDocument/2006/relationships" r:embed="rId81"/>
        <a:stretch>
          <a:fillRect/>
        </a:stretch>
      </xdr:blipFill>
      <xdr:spPr>
        <a:xfrm>
          <a:off x="3668968" y="158557451"/>
          <a:ext cx="1152525" cy="1629410"/>
        </a:xfrm>
        <a:prstGeom prst="rect">
          <a:avLst/>
        </a:prstGeom>
      </xdr:spPr>
    </xdr:pic>
    <xdr:clientData/>
  </xdr:twoCellAnchor>
  <xdr:twoCellAnchor editAs="oneCell">
    <xdr:from>
      <xdr:col>2</xdr:col>
      <xdr:colOff>349250</xdr:colOff>
      <xdr:row>99</xdr:row>
      <xdr:rowOff>337983</xdr:rowOff>
    </xdr:from>
    <xdr:to>
      <xdr:col>2</xdr:col>
      <xdr:colOff>2055295</xdr:colOff>
      <xdr:row>99</xdr:row>
      <xdr:rowOff>1927176</xdr:rowOff>
    </xdr:to>
    <xdr:pic>
      <xdr:nvPicPr>
        <xdr:cNvPr id="86" name="Imagen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82"/>
        <a:stretch>
          <a:fillRect/>
        </a:stretch>
      </xdr:blipFill>
      <xdr:spPr>
        <a:xfrm>
          <a:off x="3312583" y="160590816"/>
          <a:ext cx="1706045" cy="1589193"/>
        </a:xfrm>
        <a:prstGeom prst="rect">
          <a:avLst/>
        </a:prstGeom>
      </xdr:spPr>
    </xdr:pic>
    <xdr:clientData/>
  </xdr:twoCellAnchor>
  <xdr:twoCellAnchor editAs="oneCell">
    <xdr:from>
      <xdr:col>2</xdr:col>
      <xdr:colOff>806552</xdr:colOff>
      <xdr:row>100</xdr:row>
      <xdr:rowOff>107540</xdr:rowOff>
    </xdr:from>
    <xdr:to>
      <xdr:col>2</xdr:col>
      <xdr:colOff>1656817</xdr:colOff>
      <xdr:row>100</xdr:row>
      <xdr:rowOff>1522320</xdr:rowOff>
    </xdr:to>
    <xdr:pic>
      <xdr:nvPicPr>
        <xdr:cNvPr id="87" name="Imagen 86">
          <a:extLst>
            <a:ext uri="{FF2B5EF4-FFF2-40B4-BE49-F238E27FC236}">
              <a16:creationId xmlns:a16="http://schemas.microsoft.com/office/drawing/2014/main" id="{00000000-0008-0000-0000-000057000000}"/>
            </a:ext>
          </a:extLst>
        </xdr:cNvPr>
        <xdr:cNvPicPr/>
      </xdr:nvPicPr>
      <xdr:blipFill>
        <a:blip xmlns:r="http://schemas.openxmlformats.org/officeDocument/2006/relationships" r:embed="rId83"/>
        <a:stretch>
          <a:fillRect/>
        </a:stretch>
      </xdr:blipFill>
      <xdr:spPr>
        <a:xfrm>
          <a:off x="3768827" y="162746915"/>
          <a:ext cx="850265" cy="1414780"/>
        </a:xfrm>
        <a:prstGeom prst="rect">
          <a:avLst/>
        </a:prstGeom>
      </xdr:spPr>
    </xdr:pic>
    <xdr:clientData/>
  </xdr:twoCellAnchor>
  <xdr:twoCellAnchor editAs="oneCell">
    <xdr:from>
      <xdr:col>2</xdr:col>
      <xdr:colOff>1036996</xdr:colOff>
      <xdr:row>102</xdr:row>
      <xdr:rowOff>153629</xdr:rowOff>
    </xdr:from>
    <xdr:to>
      <xdr:col>2</xdr:col>
      <xdr:colOff>1704381</xdr:colOff>
      <xdr:row>102</xdr:row>
      <xdr:rowOff>1567139</xdr:rowOff>
    </xdr:to>
    <xdr:pic>
      <xdr:nvPicPr>
        <xdr:cNvPr id="88" name="Imagen 87">
          <a:extLst>
            <a:ext uri="{FF2B5EF4-FFF2-40B4-BE49-F238E27FC236}">
              <a16:creationId xmlns:a16="http://schemas.microsoft.com/office/drawing/2014/main" id="{00000000-0008-0000-0000-000058000000}"/>
            </a:ext>
          </a:extLst>
        </xdr:cNvPr>
        <xdr:cNvPicPr/>
      </xdr:nvPicPr>
      <xdr:blipFill>
        <a:blip xmlns:r="http://schemas.openxmlformats.org/officeDocument/2006/relationships" r:embed="rId84"/>
        <a:stretch>
          <a:fillRect/>
        </a:stretch>
      </xdr:blipFill>
      <xdr:spPr>
        <a:xfrm>
          <a:off x="3999271" y="164736104"/>
          <a:ext cx="667385" cy="1413510"/>
        </a:xfrm>
        <a:prstGeom prst="rect">
          <a:avLst/>
        </a:prstGeom>
      </xdr:spPr>
    </xdr:pic>
    <xdr:clientData/>
  </xdr:twoCellAnchor>
  <xdr:twoCellAnchor editAs="oneCell">
    <xdr:from>
      <xdr:col>2</xdr:col>
      <xdr:colOff>752783</xdr:colOff>
      <xdr:row>104</xdr:row>
      <xdr:rowOff>130585</xdr:rowOff>
    </xdr:from>
    <xdr:to>
      <xdr:col>2</xdr:col>
      <xdr:colOff>2128193</xdr:colOff>
      <xdr:row>104</xdr:row>
      <xdr:rowOff>1641250</xdr:rowOff>
    </xdr:to>
    <xdr:pic>
      <xdr:nvPicPr>
        <xdr:cNvPr id="89" name="Imagen 88" descr="Linterna LED multifunción 3 en 1 con batería recargable">
          <a:extLst>
            <a:ext uri="{FF2B5EF4-FFF2-40B4-BE49-F238E27FC236}">
              <a16:creationId xmlns:a16="http://schemas.microsoft.com/office/drawing/2014/main" id="{00000000-0008-0000-0000-000059000000}"/>
            </a:ext>
          </a:extLst>
        </xdr:cNvPr>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3715058" y="166656160"/>
          <a:ext cx="1375410" cy="1510665"/>
        </a:xfrm>
        <a:prstGeom prst="rect">
          <a:avLst/>
        </a:prstGeom>
        <a:noFill/>
        <a:ln>
          <a:noFill/>
        </a:ln>
      </xdr:spPr>
    </xdr:pic>
    <xdr:clientData/>
  </xdr:twoCellAnchor>
  <xdr:twoCellAnchor editAs="oneCell">
    <xdr:from>
      <xdr:col>2</xdr:col>
      <xdr:colOff>737419</xdr:colOff>
      <xdr:row>106</xdr:row>
      <xdr:rowOff>153629</xdr:rowOff>
    </xdr:from>
    <xdr:to>
      <xdr:col>2</xdr:col>
      <xdr:colOff>1981815</xdr:colOff>
      <xdr:row>106</xdr:row>
      <xdr:rowOff>1543972</xdr:rowOff>
    </xdr:to>
    <xdr:pic>
      <xdr:nvPicPr>
        <xdr:cNvPr id="90" name="Imagen 89">
          <a:extLst>
            <a:ext uri="{FF2B5EF4-FFF2-40B4-BE49-F238E27FC236}">
              <a16:creationId xmlns:a16="http://schemas.microsoft.com/office/drawing/2014/main" id="{00000000-0008-0000-0000-00005A000000}"/>
            </a:ext>
          </a:extLst>
        </xdr:cNvPr>
        <xdr:cNvPicPr/>
      </xdr:nvPicPr>
      <xdr:blipFill>
        <a:blip xmlns:r="http://schemas.openxmlformats.org/officeDocument/2006/relationships" r:embed="rId86"/>
        <a:stretch>
          <a:fillRect/>
        </a:stretch>
      </xdr:blipFill>
      <xdr:spPr>
        <a:xfrm>
          <a:off x="3699694" y="168622304"/>
          <a:ext cx="1244396" cy="1390343"/>
        </a:xfrm>
        <a:prstGeom prst="rect">
          <a:avLst/>
        </a:prstGeom>
      </xdr:spPr>
    </xdr:pic>
    <xdr:clientData/>
  </xdr:twoCellAnchor>
  <xdr:twoCellAnchor editAs="oneCell">
    <xdr:from>
      <xdr:col>2</xdr:col>
      <xdr:colOff>361027</xdr:colOff>
      <xdr:row>107</xdr:row>
      <xdr:rowOff>69133</xdr:rowOff>
    </xdr:from>
    <xdr:to>
      <xdr:col>2</xdr:col>
      <xdr:colOff>1874274</xdr:colOff>
      <xdr:row>107</xdr:row>
      <xdr:rowOff>1290484</xdr:rowOff>
    </xdr:to>
    <xdr:pic>
      <xdr:nvPicPr>
        <xdr:cNvPr id="91" name="Imagen 90">
          <a:extLst>
            <a:ext uri="{FF2B5EF4-FFF2-40B4-BE49-F238E27FC236}">
              <a16:creationId xmlns:a16="http://schemas.microsoft.com/office/drawing/2014/main" id="{00000000-0008-0000-0000-00005B000000}"/>
            </a:ext>
          </a:extLst>
        </xdr:cNvPr>
        <xdr:cNvPicPr/>
      </xdr:nvPicPr>
      <xdr:blipFill>
        <a:blip xmlns:r="http://schemas.openxmlformats.org/officeDocument/2006/relationships" r:embed="rId87"/>
        <a:stretch>
          <a:fillRect/>
        </a:stretch>
      </xdr:blipFill>
      <xdr:spPr>
        <a:xfrm>
          <a:off x="3323302" y="170328508"/>
          <a:ext cx="1513247" cy="1221351"/>
        </a:xfrm>
        <a:prstGeom prst="rect">
          <a:avLst/>
        </a:prstGeom>
      </xdr:spPr>
    </xdr:pic>
    <xdr:clientData/>
  </xdr:twoCellAnchor>
  <xdr:twoCellAnchor editAs="oneCell">
    <xdr:from>
      <xdr:col>2</xdr:col>
      <xdr:colOff>407116</xdr:colOff>
      <xdr:row>108</xdr:row>
      <xdr:rowOff>207399</xdr:rowOff>
    </xdr:from>
    <xdr:to>
      <xdr:col>2</xdr:col>
      <xdr:colOff>2135443</xdr:colOff>
      <xdr:row>108</xdr:row>
      <xdr:rowOff>1482520</xdr:rowOff>
    </xdr:to>
    <xdr:pic>
      <xdr:nvPicPr>
        <xdr:cNvPr id="92" name="Imagen 91">
          <a:extLst>
            <a:ext uri="{FF2B5EF4-FFF2-40B4-BE49-F238E27FC236}">
              <a16:creationId xmlns:a16="http://schemas.microsoft.com/office/drawing/2014/main" id="{00000000-0008-0000-0000-00005C000000}"/>
            </a:ext>
          </a:extLst>
        </xdr:cNvPr>
        <xdr:cNvPicPr/>
      </xdr:nvPicPr>
      <xdr:blipFill>
        <a:blip xmlns:r="http://schemas.openxmlformats.org/officeDocument/2006/relationships" r:embed="rId88"/>
        <a:stretch>
          <a:fillRect/>
        </a:stretch>
      </xdr:blipFill>
      <xdr:spPr>
        <a:xfrm>
          <a:off x="3369391" y="172257474"/>
          <a:ext cx="1728327" cy="1275121"/>
        </a:xfrm>
        <a:prstGeom prst="rect">
          <a:avLst/>
        </a:prstGeom>
      </xdr:spPr>
    </xdr:pic>
    <xdr:clientData/>
  </xdr:twoCellAnchor>
  <xdr:twoCellAnchor editAs="oneCell">
    <xdr:from>
      <xdr:col>2</xdr:col>
      <xdr:colOff>568427</xdr:colOff>
      <xdr:row>109</xdr:row>
      <xdr:rowOff>268851</xdr:rowOff>
    </xdr:from>
    <xdr:to>
      <xdr:col>2</xdr:col>
      <xdr:colOff>2014957</xdr:colOff>
      <xdr:row>109</xdr:row>
      <xdr:rowOff>1437251</xdr:rowOff>
    </xdr:to>
    <xdr:pic>
      <xdr:nvPicPr>
        <xdr:cNvPr id="93" name="Imagen 92">
          <a:extLst>
            <a:ext uri="{FF2B5EF4-FFF2-40B4-BE49-F238E27FC236}">
              <a16:creationId xmlns:a16="http://schemas.microsoft.com/office/drawing/2014/main" id="{00000000-0008-0000-0000-00005D000000}"/>
            </a:ext>
          </a:extLst>
        </xdr:cNvPr>
        <xdr:cNvPicPr/>
      </xdr:nvPicPr>
      <xdr:blipFill>
        <a:blip xmlns:r="http://schemas.openxmlformats.org/officeDocument/2006/relationships" r:embed="rId89"/>
        <a:stretch>
          <a:fillRect/>
        </a:stretch>
      </xdr:blipFill>
      <xdr:spPr>
        <a:xfrm>
          <a:off x="3530702" y="174109626"/>
          <a:ext cx="1446530" cy="1168400"/>
        </a:xfrm>
        <a:prstGeom prst="rect">
          <a:avLst/>
        </a:prstGeom>
      </xdr:spPr>
    </xdr:pic>
    <xdr:clientData/>
  </xdr:twoCellAnchor>
  <xdr:twoCellAnchor editAs="oneCell">
    <xdr:from>
      <xdr:col>2</xdr:col>
      <xdr:colOff>545383</xdr:colOff>
      <xdr:row>110</xdr:row>
      <xdr:rowOff>215081</xdr:rowOff>
    </xdr:from>
    <xdr:to>
      <xdr:col>2</xdr:col>
      <xdr:colOff>1968418</xdr:colOff>
      <xdr:row>110</xdr:row>
      <xdr:rowOff>1661611</xdr:rowOff>
    </xdr:to>
    <xdr:pic>
      <xdr:nvPicPr>
        <xdr:cNvPr id="94" name="Imagen 93">
          <a:extLst>
            <a:ext uri="{FF2B5EF4-FFF2-40B4-BE49-F238E27FC236}">
              <a16:creationId xmlns:a16="http://schemas.microsoft.com/office/drawing/2014/main" id="{00000000-0008-0000-0000-00005E000000}"/>
            </a:ext>
          </a:extLst>
        </xdr:cNvPr>
        <xdr:cNvPicPr/>
      </xdr:nvPicPr>
      <xdr:blipFill>
        <a:blip xmlns:r="http://schemas.openxmlformats.org/officeDocument/2006/relationships" r:embed="rId90"/>
        <a:stretch>
          <a:fillRect/>
        </a:stretch>
      </xdr:blipFill>
      <xdr:spPr>
        <a:xfrm>
          <a:off x="3507658" y="175846556"/>
          <a:ext cx="1423035" cy="1446530"/>
        </a:xfrm>
        <a:prstGeom prst="rect">
          <a:avLst/>
        </a:prstGeom>
      </xdr:spPr>
    </xdr:pic>
    <xdr:clientData/>
  </xdr:twoCellAnchor>
  <xdr:twoCellAnchor editAs="oneCell">
    <xdr:from>
      <xdr:col>2</xdr:col>
      <xdr:colOff>519096</xdr:colOff>
      <xdr:row>3</xdr:row>
      <xdr:rowOff>671530</xdr:rowOff>
    </xdr:from>
    <xdr:to>
      <xdr:col>2</xdr:col>
      <xdr:colOff>1942131</xdr:colOff>
      <xdr:row>3</xdr:row>
      <xdr:rowOff>2372695</xdr:rowOff>
    </xdr:to>
    <xdr:pic>
      <xdr:nvPicPr>
        <xdr:cNvPr id="95" name="image5.png">
          <a:extLst>
            <a:ext uri="{FF2B5EF4-FFF2-40B4-BE49-F238E27FC236}">
              <a16:creationId xmlns:a16="http://schemas.microsoft.com/office/drawing/2014/main" id="{00000000-0008-0000-0000-00005F000000}"/>
            </a:ext>
          </a:extLst>
        </xdr:cNvPr>
        <xdr:cNvPicPr/>
      </xdr:nvPicPr>
      <xdr:blipFill>
        <a:blip xmlns:r="http://schemas.openxmlformats.org/officeDocument/2006/relationships" r:embed="rId91"/>
        <a:srcRect/>
        <a:stretch>
          <a:fillRect/>
        </a:stretch>
      </xdr:blipFill>
      <xdr:spPr>
        <a:xfrm>
          <a:off x="3481371" y="1185880"/>
          <a:ext cx="1423035" cy="1701165"/>
        </a:xfrm>
        <a:prstGeom prst="rect">
          <a:avLst/>
        </a:prstGeom>
        <a:ln/>
      </xdr:spPr>
    </xdr:pic>
    <xdr:clientData/>
  </xdr:twoCellAnchor>
</xdr:wsDr>
</file>

<file path=xl/drawings/drawing2.xml><?xml version="1.0" encoding="utf-8"?>
<xdr:wsDr xmlns:xdr="http://schemas.openxmlformats.org/drawingml/2006/spreadsheetDrawing" xmlns:a="http://schemas.openxmlformats.org/drawingml/2006/main">
  <xdr:oneCellAnchor>
    <xdr:from>
      <xdr:col>1</xdr:col>
      <xdr:colOff>144780</xdr:colOff>
      <xdr:row>0</xdr:row>
      <xdr:rowOff>91440</xdr:rowOff>
    </xdr:from>
    <xdr:ext cx="9989820" cy="1819711"/>
    <xdr:pic>
      <xdr:nvPicPr>
        <xdr:cNvPr id="2" name="Imagen 65">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rcRect/>
        <a:stretch>
          <a:fillRect/>
        </a:stretch>
      </xdr:blipFill>
      <xdr:spPr>
        <a:xfrm>
          <a:off x="982980" y="91440"/>
          <a:ext cx="9989820" cy="1819711"/>
        </a:xfrm>
        <a:prstGeom prst="rect">
          <a:avLst/>
        </a:prstGeom>
        <a:noFill/>
        <a:ln cap="flat">
          <a:noFill/>
        </a:ln>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fuerzaaereacolombia-my.sharepoint.com/personal/luz_osorio_fac_mil_co/Documents/PRESUPUESTO%20DEPLA/PRESUPUESTO%202024/CPA%202024%20EXCEL/41%20GRUAL%20EQUIPOS%20Y%20REPUESTOS%20AGRICOLAS.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A-JEADA-FR-185 (2)"/>
      <sheetName val="MUNICIONES"/>
      <sheetName val="DEPENDENCIAS"/>
      <sheetName val="RUBROS"/>
      <sheetName val="LOGO"/>
    </sheetNames>
    <sheetDataSet>
      <sheetData sheetId="0" refreshError="1"/>
      <sheetData sheetId="1" refreshError="1"/>
      <sheetData sheetId="2" refreshError="1"/>
      <sheetData sheetId="3">
        <row r="1">
          <cell r="A1" t="str">
            <v>B</v>
          </cell>
          <cell r="B1" t="str">
            <v>B</v>
          </cell>
          <cell r="C1" t="str">
            <v>CTA</v>
          </cell>
          <cell r="D1" t="str">
            <v>SUB CTA</v>
          </cell>
          <cell r="E1" t="str">
            <v>OBJ</v>
          </cell>
          <cell r="F1" t="str">
            <v>ORD</v>
          </cell>
          <cell r="G1" t="str">
            <v>SUB ORD</v>
          </cell>
          <cell r="H1" t="str">
            <v>ITEN</v>
          </cell>
          <cell r="I1" t="str">
            <v>SUB ITEM 1</v>
          </cell>
          <cell r="J1" t="str">
            <v>SUB ITEM 2</v>
          </cell>
        </row>
        <row r="2">
          <cell r="A2" t="str">
            <v>010103027</v>
          </cell>
          <cell r="B2" t="str">
            <v>01-01-03-027</v>
          </cell>
          <cell r="C2" t="str">
            <v>01</v>
          </cell>
          <cell r="D2" t="str">
            <v>01</v>
          </cell>
          <cell r="E2" t="str">
            <v>03</v>
          </cell>
          <cell r="F2" t="str">
            <v>027</v>
          </cell>
          <cell r="K2" t="str">
            <v>GP-Partida alimentación soldados</v>
          </cell>
        </row>
        <row r="3">
          <cell r="A3" t="str">
            <v>010103028</v>
          </cell>
          <cell r="B3" t="str">
            <v>01-01-03-028</v>
          </cell>
          <cell r="C3" t="str">
            <v>01</v>
          </cell>
          <cell r="D3" t="str">
            <v>01</v>
          </cell>
          <cell r="E3" t="str">
            <v>03</v>
          </cell>
          <cell r="F3" t="str">
            <v>028</v>
          </cell>
          <cell r="K3" t="str">
            <v>GP-Partida alimentación orden público y cobertura de fronteras</v>
          </cell>
        </row>
        <row r="4">
          <cell r="A4" t="str">
            <v>010103035</v>
          </cell>
          <cell r="B4" t="str">
            <v>01-01-03-035</v>
          </cell>
          <cell r="C4" t="str">
            <v>01</v>
          </cell>
          <cell r="D4" t="str">
            <v>01</v>
          </cell>
          <cell r="E4" t="str">
            <v>03</v>
          </cell>
          <cell r="F4" t="str">
            <v>035</v>
          </cell>
          <cell r="K4" t="str">
            <v>GP-Alimentación alumnos</v>
          </cell>
        </row>
        <row r="5">
          <cell r="A5" t="str">
            <v>010201001001</v>
          </cell>
          <cell r="B5" t="str">
            <v>01-02-01-001-001</v>
          </cell>
          <cell r="C5" t="str">
            <v>01</v>
          </cell>
          <cell r="D5" t="str">
            <v>02</v>
          </cell>
          <cell r="E5" t="str">
            <v>01</v>
          </cell>
          <cell r="F5" t="str">
            <v>001</v>
          </cell>
          <cell r="G5" t="str">
            <v>001</v>
          </cell>
          <cell r="K5" t="str">
            <v>GP-Sueldo básico</v>
          </cell>
        </row>
        <row r="6">
          <cell r="A6" t="str">
            <v>010201001002</v>
          </cell>
          <cell r="B6" t="str">
            <v>01-02-01-001-002</v>
          </cell>
          <cell r="C6" t="str">
            <v>01</v>
          </cell>
          <cell r="D6" t="str">
            <v>02</v>
          </cell>
          <cell r="E6" t="str">
            <v>01</v>
          </cell>
          <cell r="F6" t="str">
            <v>001</v>
          </cell>
          <cell r="G6" t="str">
            <v>002</v>
          </cell>
          <cell r="K6" t="str">
            <v>GP-Gastos de representación</v>
          </cell>
        </row>
        <row r="7">
          <cell r="A7" t="str">
            <v>010201001003</v>
          </cell>
          <cell r="B7" t="str">
            <v>01-02-01-001-003</v>
          </cell>
          <cell r="C7" t="str">
            <v>01</v>
          </cell>
          <cell r="D7" t="str">
            <v>02</v>
          </cell>
          <cell r="E7" t="str">
            <v>01</v>
          </cell>
          <cell r="F7" t="str">
            <v>001</v>
          </cell>
          <cell r="G7" t="str">
            <v>003</v>
          </cell>
          <cell r="K7" t="str">
            <v>GP-Prima técnica salarial</v>
          </cell>
        </row>
        <row r="8">
          <cell r="A8" t="str">
            <v>010201001004</v>
          </cell>
          <cell r="B8" t="str">
            <v>01-02-01-001-004</v>
          </cell>
          <cell r="C8" t="str">
            <v>01</v>
          </cell>
          <cell r="D8" t="str">
            <v>02</v>
          </cell>
          <cell r="E8" t="str">
            <v>01</v>
          </cell>
          <cell r="F8" t="str">
            <v>001</v>
          </cell>
          <cell r="G8" t="str">
            <v>004</v>
          </cell>
          <cell r="K8" t="str">
            <v>GP-Subsidio de alimentación</v>
          </cell>
        </row>
        <row r="9">
          <cell r="A9" t="str">
            <v>010201001005</v>
          </cell>
          <cell r="B9" t="str">
            <v>01-02-01-001-005</v>
          </cell>
          <cell r="C9" t="str">
            <v>01</v>
          </cell>
          <cell r="D9" t="str">
            <v>02</v>
          </cell>
          <cell r="E9" t="str">
            <v>01</v>
          </cell>
          <cell r="F9" t="str">
            <v>001</v>
          </cell>
          <cell r="G9" t="str">
            <v>005</v>
          </cell>
          <cell r="K9" t="str">
            <v>GP-Auxilio de transporte</v>
          </cell>
        </row>
        <row r="10">
          <cell r="A10" t="str">
            <v>010201001006</v>
          </cell>
          <cell r="B10" t="str">
            <v>01-02-01-001-006</v>
          </cell>
          <cell r="C10" t="str">
            <v>01</v>
          </cell>
          <cell r="D10" t="str">
            <v>02</v>
          </cell>
          <cell r="E10" t="str">
            <v>01</v>
          </cell>
          <cell r="F10" t="str">
            <v>001</v>
          </cell>
          <cell r="G10" t="str">
            <v>006</v>
          </cell>
          <cell r="K10" t="str">
            <v>GP-Prima de servicio</v>
          </cell>
        </row>
        <row r="11">
          <cell r="A11" t="str">
            <v>010201001007</v>
          </cell>
          <cell r="B11" t="str">
            <v>01-02-01-001-007</v>
          </cell>
          <cell r="C11" t="str">
            <v>01</v>
          </cell>
          <cell r="D11" t="str">
            <v>02</v>
          </cell>
          <cell r="E11" t="str">
            <v>01</v>
          </cell>
          <cell r="F11" t="str">
            <v>001</v>
          </cell>
          <cell r="G11" t="str">
            <v>007</v>
          </cell>
          <cell r="K11" t="str">
            <v>GP-Bonificación por servicios prestados</v>
          </cell>
        </row>
        <row r="12">
          <cell r="A12" t="str">
            <v>010201001008</v>
          </cell>
          <cell r="B12" t="str">
            <v>01-02-01-001-008</v>
          </cell>
          <cell r="C12" t="str">
            <v>01</v>
          </cell>
          <cell r="D12" t="str">
            <v>02</v>
          </cell>
          <cell r="E12" t="str">
            <v>01</v>
          </cell>
          <cell r="F12" t="str">
            <v>001</v>
          </cell>
          <cell r="G12" t="str">
            <v>008</v>
          </cell>
          <cell r="K12" t="str">
            <v>GP-Horas extras, dominicales, festivos y recargos</v>
          </cell>
        </row>
        <row r="13">
          <cell r="A13" t="str">
            <v>010201001009</v>
          </cell>
          <cell r="B13" t="str">
            <v>01-02-01-001-009</v>
          </cell>
          <cell r="C13" t="str">
            <v>01</v>
          </cell>
          <cell r="D13" t="str">
            <v>02</v>
          </cell>
          <cell r="E13" t="str">
            <v>01</v>
          </cell>
          <cell r="F13" t="str">
            <v>001</v>
          </cell>
          <cell r="G13" t="str">
            <v>009</v>
          </cell>
          <cell r="K13" t="str">
            <v>GP-Prima de navidad</v>
          </cell>
        </row>
        <row r="14">
          <cell r="A14" t="str">
            <v>010201001010</v>
          </cell>
          <cell r="B14" t="str">
            <v>01-02-01-001-010</v>
          </cell>
          <cell r="C14" t="str">
            <v>01</v>
          </cell>
          <cell r="D14" t="str">
            <v>02</v>
          </cell>
          <cell r="E14" t="str">
            <v>01</v>
          </cell>
          <cell r="F14" t="str">
            <v>001</v>
          </cell>
          <cell r="G14" t="str">
            <v>010</v>
          </cell>
          <cell r="K14" t="str">
            <v>GP-Prima de vacaciones</v>
          </cell>
        </row>
        <row r="15">
          <cell r="A15" t="str">
            <v>010201001011</v>
          </cell>
          <cell r="B15" t="str">
            <v>01-02-01-001-011</v>
          </cell>
          <cell r="C15" t="str">
            <v>01</v>
          </cell>
          <cell r="D15" t="str">
            <v>02</v>
          </cell>
          <cell r="E15" t="str">
            <v>01</v>
          </cell>
          <cell r="F15" t="str">
            <v>001</v>
          </cell>
          <cell r="G15" t="str">
            <v>011</v>
          </cell>
          <cell r="K15" t="str">
            <v>GP-Viáticos de los funcionarios en comisión</v>
          </cell>
        </row>
        <row r="16">
          <cell r="A16" t="str">
            <v>010201001012</v>
          </cell>
          <cell r="B16" t="str">
            <v>01-02-01-001-012</v>
          </cell>
          <cell r="C16" t="str">
            <v>01</v>
          </cell>
          <cell r="D16" t="str">
            <v>02</v>
          </cell>
          <cell r="E16" t="str">
            <v>01</v>
          </cell>
          <cell r="F16" t="str">
            <v>001</v>
          </cell>
          <cell r="G16" t="str">
            <v>011</v>
          </cell>
          <cell r="K16" t="str">
            <v xml:space="preserve">GP-Auxilio de conectividad digital </v>
          </cell>
        </row>
        <row r="17">
          <cell r="A17" t="str">
            <v>01020100200101</v>
          </cell>
          <cell r="B17" t="str">
            <v>01-02-01-002-001-01</v>
          </cell>
          <cell r="C17" t="str">
            <v>01</v>
          </cell>
          <cell r="D17" t="str">
            <v>02</v>
          </cell>
          <cell r="E17" t="str">
            <v>01</v>
          </cell>
          <cell r="F17" t="str">
            <v>002</v>
          </cell>
          <cell r="G17" t="str">
            <v>001</v>
          </cell>
          <cell r="H17" t="str">
            <v>01</v>
          </cell>
          <cell r="K17" t="str">
            <v>GP-Escalafón diplomático</v>
          </cell>
        </row>
        <row r="18">
          <cell r="A18" t="str">
            <v>010201002001021</v>
          </cell>
          <cell r="B18" t="str">
            <v>01-02-01-002-001-02-1</v>
          </cell>
          <cell r="C18" t="str">
            <v>01</v>
          </cell>
          <cell r="D18" t="str">
            <v>02</v>
          </cell>
          <cell r="E18" t="str">
            <v>01</v>
          </cell>
          <cell r="F18" t="str">
            <v>002</v>
          </cell>
          <cell r="G18" t="str">
            <v>001</v>
          </cell>
          <cell r="H18" t="str">
            <v>02</v>
          </cell>
          <cell r="I18" t="str">
            <v>1</v>
          </cell>
          <cell r="K18" t="str">
            <v>GP-Comisión de servicios</v>
          </cell>
        </row>
        <row r="19">
          <cell r="A19" t="str">
            <v>010201002001022</v>
          </cell>
          <cell r="B19" t="str">
            <v>01-02-01-002-001-02-2</v>
          </cell>
          <cell r="C19" t="str">
            <v>01</v>
          </cell>
          <cell r="D19" t="str">
            <v>02</v>
          </cell>
          <cell r="E19" t="str">
            <v>01</v>
          </cell>
          <cell r="F19" t="str">
            <v>002</v>
          </cell>
          <cell r="G19" t="str">
            <v>001</v>
          </cell>
          <cell r="H19" t="str">
            <v>02</v>
          </cell>
          <cell r="I19" t="str">
            <v>2</v>
          </cell>
          <cell r="K19" t="str">
            <v>GP-Comisión de estudios</v>
          </cell>
        </row>
        <row r="20">
          <cell r="A20" t="str">
            <v>010201002002</v>
          </cell>
          <cell r="B20" t="str">
            <v>01-02-01-002-002</v>
          </cell>
          <cell r="C20" t="str">
            <v>01</v>
          </cell>
          <cell r="D20" t="str">
            <v>02</v>
          </cell>
          <cell r="E20" t="str">
            <v>01</v>
          </cell>
          <cell r="F20" t="str">
            <v>002</v>
          </cell>
          <cell r="G20" t="str">
            <v>002</v>
          </cell>
          <cell r="K20" t="str">
            <v>GP-Prima de actividad</v>
          </cell>
        </row>
        <row r="21">
          <cell r="A21" t="str">
            <v>010201002003</v>
          </cell>
          <cell r="B21" t="str">
            <v>01-02-01-002-003</v>
          </cell>
          <cell r="C21" t="str">
            <v>01</v>
          </cell>
          <cell r="D21" t="str">
            <v>02</v>
          </cell>
          <cell r="E21" t="str">
            <v>01</v>
          </cell>
          <cell r="F21" t="str">
            <v>002</v>
          </cell>
          <cell r="G21" t="str">
            <v>003</v>
          </cell>
          <cell r="K21" t="str">
            <v>GP-Prima especial de servicios</v>
          </cell>
        </row>
        <row r="22">
          <cell r="A22" t="str">
            <v>010201002004</v>
          </cell>
          <cell r="B22" t="str">
            <v>01-02-01-002-004</v>
          </cell>
          <cell r="C22" t="str">
            <v>01</v>
          </cell>
          <cell r="D22" t="str">
            <v>02</v>
          </cell>
          <cell r="E22" t="str">
            <v>01</v>
          </cell>
          <cell r="F22" t="str">
            <v>002</v>
          </cell>
          <cell r="G22" t="str">
            <v>004</v>
          </cell>
          <cell r="K22" t="str">
            <v>GP-Prima semestral</v>
          </cell>
        </row>
        <row r="23">
          <cell r="A23" t="str">
            <v>010201002005</v>
          </cell>
          <cell r="B23" t="str">
            <v>01-02-01-002-005</v>
          </cell>
          <cell r="C23" t="str">
            <v>01</v>
          </cell>
          <cell r="D23" t="str">
            <v>02</v>
          </cell>
          <cell r="E23" t="str">
            <v>01</v>
          </cell>
          <cell r="F23" t="str">
            <v>002</v>
          </cell>
          <cell r="G23" t="str">
            <v>005</v>
          </cell>
          <cell r="K23" t="str">
            <v>GP-Prima ascensional</v>
          </cell>
        </row>
        <row r="24">
          <cell r="A24" t="str">
            <v>010201002006</v>
          </cell>
          <cell r="B24" t="str">
            <v>01-02-01-002-006</v>
          </cell>
          <cell r="C24" t="str">
            <v>01</v>
          </cell>
          <cell r="D24" t="str">
            <v>02</v>
          </cell>
          <cell r="E24" t="str">
            <v>01</v>
          </cell>
          <cell r="F24" t="str">
            <v>002</v>
          </cell>
          <cell r="G24" t="str">
            <v>006</v>
          </cell>
          <cell r="K24" t="str">
            <v>GP-Primas extraordinarias</v>
          </cell>
        </row>
        <row r="25">
          <cell r="A25" t="str">
            <v>010201002007</v>
          </cell>
          <cell r="B25" t="str">
            <v>01-02-01-002-007</v>
          </cell>
          <cell r="C25" t="str">
            <v>01</v>
          </cell>
          <cell r="D25" t="str">
            <v>02</v>
          </cell>
          <cell r="E25" t="str">
            <v>01</v>
          </cell>
          <cell r="F25" t="str">
            <v>002</v>
          </cell>
          <cell r="G25" t="str">
            <v>007</v>
          </cell>
          <cell r="K25" t="str">
            <v>GP-Prima mensual</v>
          </cell>
        </row>
        <row r="26">
          <cell r="A26" t="str">
            <v>010201002008</v>
          </cell>
          <cell r="B26" t="str">
            <v>01-02-01-002-008</v>
          </cell>
          <cell r="C26" t="str">
            <v>01</v>
          </cell>
          <cell r="D26" t="str">
            <v>02</v>
          </cell>
          <cell r="E26" t="str">
            <v>01</v>
          </cell>
          <cell r="F26" t="str">
            <v>002</v>
          </cell>
          <cell r="G26" t="str">
            <v>008</v>
          </cell>
          <cell r="K26" t="str">
            <v>GP-Auxilio especial de transporte</v>
          </cell>
        </row>
        <row r="27">
          <cell r="A27" t="str">
            <v>010201002009</v>
          </cell>
          <cell r="B27" t="str">
            <v>01-02-01-002-009</v>
          </cell>
          <cell r="C27" t="str">
            <v>01</v>
          </cell>
          <cell r="D27" t="str">
            <v>02</v>
          </cell>
          <cell r="E27" t="str">
            <v>01</v>
          </cell>
          <cell r="F27" t="str">
            <v>002</v>
          </cell>
          <cell r="G27" t="str">
            <v>009</v>
          </cell>
          <cell r="K27" t="str">
            <v>GP-Bonificación por comisión especial de servicio</v>
          </cell>
        </row>
        <row r="28">
          <cell r="A28" t="str">
            <v>01020100201001</v>
          </cell>
          <cell r="B28" t="str">
            <v>01-02-01-002-010-01</v>
          </cell>
          <cell r="C28" t="str">
            <v>01</v>
          </cell>
          <cell r="D28" t="str">
            <v>02</v>
          </cell>
          <cell r="E28" t="str">
            <v>01</v>
          </cell>
          <cell r="F28" t="str">
            <v>002</v>
          </cell>
          <cell r="G28" t="str">
            <v>010</v>
          </cell>
          <cell r="H28" t="str">
            <v>01</v>
          </cell>
          <cell r="K28" t="str">
            <v>GP-Beneficios a los empleados a corto plazo</v>
          </cell>
        </row>
        <row r="29">
          <cell r="A29" t="str">
            <v>01020100201002</v>
          </cell>
          <cell r="B29" t="str">
            <v>01-02-01-002-010-02</v>
          </cell>
          <cell r="C29" t="str">
            <v>01</v>
          </cell>
          <cell r="D29" t="str">
            <v>02</v>
          </cell>
          <cell r="E29" t="str">
            <v>01</v>
          </cell>
          <cell r="F29" t="str">
            <v>002</v>
          </cell>
          <cell r="G29" t="str">
            <v>010</v>
          </cell>
          <cell r="H29" t="str">
            <v>02</v>
          </cell>
          <cell r="K29" t="str">
            <v>GP-Beneficios a los empleados a largo plazo</v>
          </cell>
        </row>
        <row r="30">
          <cell r="A30" t="str">
            <v>010201002011</v>
          </cell>
          <cell r="B30" t="str">
            <v>01-02-01-002-011</v>
          </cell>
          <cell r="C30" t="str">
            <v>01</v>
          </cell>
          <cell r="D30" t="str">
            <v>02</v>
          </cell>
          <cell r="E30" t="str">
            <v>01</v>
          </cell>
          <cell r="F30" t="str">
            <v>002</v>
          </cell>
          <cell r="G30" t="str">
            <v>011</v>
          </cell>
          <cell r="K30" t="str">
            <v>GP-Bonificación por compensación</v>
          </cell>
        </row>
        <row r="31">
          <cell r="A31" t="str">
            <v>01020100201201</v>
          </cell>
          <cell r="B31" t="str">
            <v>01-02-01-002-012-01</v>
          </cell>
          <cell r="C31" t="str">
            <v>01</v>
          </cell>
          <cell r="D31" t="str">
            <v>02</v>
          </cell>
          <cell r="E31" t="str">
            <v>01</v>
          </cell>
          <cell r="F31" t="str">
            <v>002</v>
          </cell>
          <cell r="G31" t="str">
            <v>012</v>
          </cell>
          <cell r="H31" t="str">
            <v>01</v>
          </cell>
          <cell r="K31" t="str">
            <v>GP-Beneficios a los empleados a corto plazo</v>
          </cell>
        </row>
        <row r="32">
          <cell r="A32" t="str">
            <v>01020100201202</v>
          </cell>
          <cell r="B32" t="str">
            <v>01-02-01-002-012-02</v>
          </cell>
          <cell r="C32" t="str">
            <v>01</v>
          </cell>
          <cell r="D32" t="str">
            <v>02</v>
          </cell>
          <cell r="E32" t="str">
            <v>01</v>
          </cell>
          <cell r="F32" t="str">
            <v>002</v>
          </cell>
          <cell r="G32" t="str">
            <v>012</v>
          </cell>
          <cell r="H32" t="str">
            <v>02</v>
          </cell>
          <cell r="K32" t="str">
            <v>GP-Beneficios a los empleados a largo plazo</v>
          </cell>
        </row>
        <row r="33">
          <cell r="A33" t="str">
            <v>010201002013</v>
          </cell>
          <cell r="B33" t="str">
            <v>01-02-01-002-013</v>
          </cell>
          <cell r="C33" t="str">
            <v>01</v>
          </cell>
          <cell r="D33" t="str">
            <v>02</v>
          </cell>
          <cell r="E33" t="str">
            <v>01</v>
          </cell>
          <cell r="F33" t="str">
            <v>002</v>
          </cell>
          <cell r="G33" t="str">
            <v>013</v>
          </cell>
          <cell r="K33" t="str">
            <v>GP-Prima especial</v>
          </cell>
        </row>
        <row r="34">
          <cell r="A34" t="str">
            <v>010201002014</v>
          </cell>
          <cell r="B34" t="str">
            <v>01-02-01-002-014</v>
          </cell>
          <cell r="C34" t="str">
            <v>01</v>
          </cell>
          <cell r="D34" t="str">
            <v>02</v>
          </cell>
          <cell r="E34" t="str">
            <v>01</v>
          </cell>
          <cell r="F34" t="str">
            <v>002</v>
          </cell>
          <cell r="G34" t="str">
            <v>014</v>
          </cell>
          <cell r="K34" t="str">
            <v>GP-Bonificación cuerpo de custodia y vigilancia</v>
          </cell>
        </row>
        <row r="35">
          <cell r="A35" t="str">
            <v>010201002015</v>
          </cell>
          <cell r="B35" t="str">
            <v>01-02-01-002-015</v>
          </cell>
          <cell r="C35" t="str">
            <v>01</v>
          </cell>
          <cell r="D35" t="str">
            <v>02</v>
          </cell>
          <cell r="E35" t="str">
            <v>01</v>
          </cell>
          <cell r="F35" t="str">
            <v>002</v>
          </cell>
          <cell r="G35" t="str">
            <v>015</v>
          </cell>
          <cell r="K35" t="str">
            <v>GP-Bonificación personal administrativo</v>
          </cell>
        </row>
        <row r="36">
          <cell r="A36" t="str">
            <v>010201002016</v>
          </cell>
          <cell r="B36" t="str">
            <v>01-02-01-002-016</v>
          </cell>
          <cell r="C36" t="str">
            <v>01</v>
          </cell>
          <cell r="D36" t="str">
            <v>02</v>
          </cell>
          <cell r="E36" t="str">
            <v>01</v>
          </cell>
          <cell r="F36" t="str">
            <v>002</v>
          </cell>
          <cell r="G36" t="str">
            <v>016</v>
          </cell>
          <cell r="K36" t="str">
            <v>GP-Sobresueldo</v>
          </cell>
        </row>
        <row r="37">
          <cell r="A37" t="str">
            <v>010201002017</v>
          </cell>
          <cell r="B37" t="str">
            <v>01-02-01-002-017</v>
          </cell>
          <cell r="C37" t="str">
            <v>01</v>
          </cell>
          <cell r="D37" t="str">
            <v>02</v>
          </cell>
          <cell r="E37" t="str">
            <v>01</v>
          </cell>
          <cell r="F37" t="str">
            <v>002</v>
          </cell>
          <cell r="G37" t="str">
            <v>017</v>
          </cell>
          <cell r="K37" t="str">
            <v>GP-Prima de productividad</v>
          </cell>
        </row>
        <row r="38">
          <cell r="A38" t="str">
            <v>010202001</v>
          </cell>
          <cell r="B38" t="str">
            <v>01-02-02-001</v>
          </cell>
          <cell r="C38" t="str">
            <v>01</v>
          </cell>
          <cell r="D38" t="str">
            <v>02</v>
          </cell>
          <cell r="E38" t="str">
            <v>02</v>
          </cell>
          <cell r="F38" t="str">
            <v>001</v>
          </cell>
          <cell r="K38" t="str">
            <v>GP-Pensiones</v>
          </cell>
        </row>
        <row r="39">
          <cell r="A39" t="str">
            <v>010202002</v>
          </cell>
          <cell r="B39" t="str">
            <v>01-02-02-002</v>
          </cell>
          <cell r="C39" t="str">
            <v>01</v>
          </cell>
          <cell r="D39" t="str">
            <v>02</v>
          </cell>
          <cell r="E39" t="str">
            <v>02</v>
          </cell>
          <cell r="F39" t="str">
            <v>002</v>
          </cell>
          <cell r="K39" t="str">
            <v>GP-Salud</v>
          </cell>
        </row>
        <row r="40">
          <cell r="A40" t="str">
            <v>010202003</v>
          </cell>
          <cell r="B40" t="str">
            <v>01-02-02-003</v>
          </cell>
          <cell r="C40" t="str">
            <v>01</v>
          </cell>
          <cell r="D40" t="str">
            <v>02</v>
          </cell>
          <cell r="E40" t="str">
            <v>02</v>
          </cell>
          <cell r="F40" t="str">
            <v>003</v>
          </cell>
          <cell r="K40" t="str">
            <v>GP-Aportes de cesantías</v>
          </cell>
        </row>
        <row r="41">
          <cell r="A41" t="str">
            <v>010202004</v>
          </cell>
          <cell r="B41" t="str">
            <v>01-02-02-004</v>
          </cell>
          <cell r="C41" t="str">
            <v>01</v>
          </cell>
          <cell r="D41" t="str">
            <v>02</v>
          </cell>
          <cell r="E41" t="str">
            <v>02</v>
          </cell>
          <cell r="F41" t="str">
            <v>004</v>
          </cell>
          <cell r="K41" t="str">
            <v>GP-Cajas de compensación familiar</v>
          </cell>
        </row>
        <row r="42">
          <cell r="A42" t="str">
            <v>010202005</v>
          </cell>
          <cell r="B42" t="str">
            <v>01-02-02-005</v>
          </cell>
          <cell r="C42" t="str">
            <v>01</v>
          </cell>
          <cell r="D42" t="str">
            <v>02</v>
          </cell>
          <cell r="E42" t="str">
            <v>02</v>
          </cell>
          <cell r="F42" t="str">
            <v>005</v>
          </cell>
          <cell r="K42" t="str">
            <v>GP-Aportes generales al sistema de riesgos laborales</v>
          </cell>
        </row>
        <row r="43">
          <cell r="A43" t="str">
            <v>010202006</v>
          </cell>
          <cell r="B43" t="str">
            <v>01-02-02-006</v>
          </cell>
          <cell r="C43" t="str">
            <v>01</v>
          </cell>
          <cell r="D43" t="str">
            <v>02</v>
          </cell>
          <cell r="E43" t="str">
            <v>02</v>
          </cell>
          <cell r="F43" t="str">
            <v>006</v>
          </cell>
          <cell r="K43" t="str">
            <v>GP-Aportes al icbf</v>
          </cell>
        </row>
        <row r="44">
          <cell r="A44" t="str">
            <v>010202007</v>
          </cell>
          <cell r="B44" t="str">
            <v>01-02-02-007</v>
          </cell>
          <cell r="C44" t="str">
            <v>01</v>
          </cell>
          <cell r="D44" t="str">
            <v>02</v>
          </cell>
          <cell r="E44" t="str">
            <v>02</v>
          </cell>
          <cell r="F44" t="str">
            <v>007</v>
          </cell>
          <cell r="K44" t="str">
            <v>GP-Aportes al sena</v>
          </cell>
        </row>
        <row r="45">
          <cell r="A45" t="str">
            <v>010202008</v>
          </cell>
          <cell r="B45" t="str">
            <v>01-02-02-008</v>
          </cell>
          <cell r="C45" t="str">
            <v>01</v>
          </cell>
          <cell r="D45" t="str">
            <v>02</v>
          </cell>
          <cell r="E45" t="str">
            <v>02</v>
          </cell>
          <cell r="F45" t="str">
            <v>008</v>
          </cell>
          <cell r="K45" t="str">
            <v>GP-Aportes a la esap</v>
          </cell>
        </row>
        <row r="46">
          <cell r="A46" t="str">
            <v>010202009</v>
          </cell>
          <cell r="B46" t="str">
            <v>01-02-02-009</v>
          </cell>
          <cell r="C46" t="str">
            <v>01</v>
          </cell>
          <cell r="D46" t="str">
            <v>02</v>
          </cell>
          <cell r="E46" t="str">
            <v>02</v>
          </cell>
          <cell r="F46" t="str">
            <v>009</v>
          </cell>
          <cell r="K46" t="str">
            <v>GP-Aportes a escuelas industriales e institutos técnicos</v>
          </cell>
        </row>
        <row r="47">
          <cell r="A47" t="str">
            <v>010202010</v>
          </cell>
          <cell r="B47" t="str">
            <v>01-02-02-010</v>
          </cell>
          <cell r="C47" t="str">
            <v>01</v>
          </cell>
          <cell r="D47" t="str">
            <v>02</v>
          </cell>
          <cell r="E47" t="str">
            <v>02</v>
          </cell>
          <cell r="F47" t="str">
            <v>010</v>
          </cell>
          <cell r="K47" t="str">
            <v>GP-Subsidio de vivienda fuerzas militares y policía nacional</v>
          </cell>
        </row>
        <row r="48">
          <cell r="A48" t="str">
            <v>010203001001</v>
          </cell>
          <cell r="B48" t="str">
            <v>01-02-03-001-001</v>
          </cell>
          <cell r="C48" t="str">
            <v>01</v>
          </cell>
          <cell r="D48" t="str">
            <v>02</v>
          </cell>
          <cell r="E48" t="str">
            <v>03</v>
          </cell>
          <cell r="F48" t="str">
            <v>001</v>
          </cell>
          <cell r="G48" t="str">
            <v>001</v>
          </cell>
          <cell r="K48" t="str">
            <v>GP-Sueldo de vacaciones</v>
          </cell>
        </row>
        <row r="49">
          <cell r="A49" t="str">
            <v>010203001002</v>
          </cell>
          <cell r="B49" t="str">
            <v>01-02-03-001-002</v>
          </cell>
          <cell r="C49" t="str">
            <v>01</v>
          </cell>
          <cell r="D49" t="str">
            <v>02</v>
          </cell>
          <cell r="E49" t="str">
            <v>03</v>
          </cell>
          <cell r="F49" t="str">
            <v>001</v>
          </cell>
          <cell r="G49" t="str">
            <v>002</v>
          </cell>
          <cell r="K49" t="str">
            <v>GP-Indemnización por vacaciones</v>
          </cell>
        </row>
        <row r="50">
          <cell r="A50" t="str">
            <v>010203001003</v>
          </cell>
          <cell r="B50" t="str">
            <v>01-02-03-001-003</v>
          </cell>
          <cell r="C50" t="str">
            <v>01</v>
          </cell>
          <cell r="D50" t="str">
            <v>02</v>
          </cell>
          <cell r="E50" t="str">
            <v>03</v>
          </cell>
          <cell r="F50" t="str">
            <v>001</v>
          </cell>
          <cell r="G50" t="str">
            <v>003</v>
          </cell>
          <cell r="K50" t="str">
            <v>GP-Bonificación especial de recreación</v>
          </cell>
        </row>
        <row r="51">
          <cell r="A51" t="str">
            <v>010203002</v>
          </cell>
          <cell r="B51" t="str">
            <v>01-02-03-002</v>
          </cell>
          <cell r="C51" t="str">
            <v>01</v>
          </cell>
          <cell r="D51" t="str">
            <v>02</v>
          </cell>
          <cell r="E51" t="str">
            <v>03</v>
          </cell>
          <cell r="F51" t="str">
            <v>002</v>
          </cell>
          <cell r="K51" t="str">
            <v>GP-Prima técnica no salarial</v>
          </cell>
        </row>
        <row r="52">
          <cell r="A52" t="str">
            <v>010203003</v>
          </cell>
          <cell r="B52" t="str">
            <v>01-02-03-003</v>
          </cell>
          <cell r="C52" t="str">
            <v>01</v>
          </cell>
          <cell r="D52" t="str">
            <v>02</v>
          </cell>
          <cell r="E52" t="str">
            <v>03</v>
          </cell>
          <cell r="F52" t="str">
            <v>003</v>
          </cell>
          <cell r="K52" t="str">
            <v>GP-Bonificación especial por servicios de seguridad a ex presidentes</v>
          </cell>
        </row>
        <row r="53">
          <cell r="A53" t="str">
            <v>010203004</v>
          </cell>
          <cell r="B53" t="str">
            <v>01-02-03-004</v>
          </cell>
          <cell r="C53" t="str">
            <v>01</v>
          </cell>
          <cell r="D53" t="str">
            <v>02</v>
          </cell>
          <cell r="E53" t="str">
            <v>03</v>
          </cell>
          <cell r="F53" t="str">
            <v>004</v>
          </cell>
          <cell r="K53" t="str">
            <v>GP-Bonificación especial por servicios de comisión en presidencia</v>
          </cell>
        </row>
        <row r="54">
          <cell r="A54" t="str">
            <v>010203005</v>
          </cell>
          <cell r="B54" t="str">
            <v>01-02-03-005</v>
          </cell>
          <cell r="C54" t="str">
            <v>01</v>
          </cell>
          <cell r="D54" t="str">
            <v>02</v>
          </cell>
          <cell r="E54" t="str">
            <v>03</v>
          </cell>
          <cell r="F54" t="str">
            <v>005</v>
          </cell>
          <cell r="K54" t="str">
            <v>GP-Prima de riesgo</v>
          </cell>
        </row>
        <row r="55">
          <cell r="A55" t="str">
            <v>010203006</v>
          </cell>
          <cell r="B55" t="str">
            <v>01-02-03-006</v>
          </cell>
          <cell r="C55" t="str">
            <v>01</v>
          </cell>
          <cell r="D55" t="str">
            <v>02</v>
          </cell>
          <cell r="E55" t="str">
            <v>03</v>
          </cell>
          <cell r="F55" t="str">
            <v>006</v>
          </cell>
          <cell r="K55" t="str">
            <v>GP-Prima de gestión</v>
          </cell>
        </row>
        <row r="56">
          <cell r="A56" t="str">
            <v>010203007</v>
          </cell>
          <cell r="B56" t="str">
            <v>01-02-03-007</v>
          </cell>
          <cell r="C56" t="str">
            <v>01</v>
          </cell>
          <cell r="D56" t="str">
            <v>02</v>
          </cell>
          <cell r="E56" t="str">
            <v>03</v>
          </cell>
          <cell r="F56" t="str">
            <v>007</v>
          </cell>
          <cell r="K56" t="str">
            <v>GP-Prima de dirección</v>
          </cell>
        </row>
        <row r="57">
          <cell r="A57" t="str">
            <v>010203008</v>
          </cell>
          <cell r="B57" t="str">
            <v>01-02-03-008</v>
          </cell>
          <cell r="C57" t="str">
            <v>01</v>
          </cell>
          <cell r="D57" t="str">
            <v>02</v>
          </cell>
          <cell r="E57" t="str">
            <v>03</v>
          </cell>
          <cell r="F57" t="str">
            <v>008</v>
          </cell>
          <cell r="K57" t="str">
            <v>GP-Prima geográfica</v>
          </cell>
        </row>
        <row r="58">
          <cell r="A58" t="str">
            <v>010203009</v>
          </cell>
          <cell r="B58" t="str">
            <v>01-02-03-009</v>
          </cell>
          <cell r="C58" t="str">
            <v>01</v>
          </cell>
          <cell r="D58" t="str">
            <v>02</v>
          </cell>
          <cell r="E58" t="str">
            <v>03</v>
          </cell>
          <cell r="F58" t="str">
            <v>009</v>
          </cell>
          <cell r="K58" t="str">
            <v>GP-Prima de costo de vida</v>
          </cell>
        </row>
        <row r="59">
          <cell r="A59" t="str">
            <v>010203010</v>
          </cell>
          <cell r="B59" t="str">
            <v>01-02-03-010</v>
          </cell>
          <cell r="C59" t="str">
            <v>01</v>
          </cell>
          <cell r="D59" t="str">
            <v>02</v>
          </cell>
          <cell r="E59" t="str">
            <v>03</v>
          </cell>
          <cell r="F59" t="str">
            <v>010</v>
          </cell>
          <cell r="K59" t="str">
            <v>GP-Prima de localización y vivienda</v>
          </cell>
        </row>
        <row r="60">
          <cell r="A60" t="str">
            <v>010203011</v>
          </cell>
          <cell r="B60" t="str">
            <v>01-02-03-011</v>
          </cell>
          <cell r="C60" t="str">
            <v>01</v>
          </cell>
          <cell r="D60" t="str">
            <v>02</v>
          </cell>
          <cell r="E60" t="str">
            <v>03</v>
          </cell>
          <cell r="F60" t="str">
            <v>011</v>
          </cell>
          <cell r="K60" t="str">
            <v>GP-Prima de capacitación</v>
          </cell>
        </row>
        <row r="61">
          <cell r="A61" t="str">
            <v>010203012</v>
          </cell>
          <cell r="B61" t="str">
            <v>01-02-03-012</v>
          </cell>
          <cell r="C61" t="str">
            <v>01</v>
          </cell>
          <cell r="D61" t="str">
            <v>02</v>
          </cell>
          <cell r="E61" t="str">
            <v>03</v>
          </cell>
          <cell r="F61" t="str">
            <v>012</v>
          </cell>
          <cell r="K61" t="str">
            <v>GP-Prima de clima o prima de calor</v>
          </cell>
        </row>
        <row r="62">
          <cell r="A62" t="str">
            <v>010203013</v>
          </cell>
          <cell r="B62" t="str">
            <v>01-02-03-013</v>
          </cell>
          <cell r="C62" t="str">
            <v>01</v>
          </cell>
          <cell r="D62" t="str">
            <v>02</v>
          </cell>
          <cell r="E62" t="str">
            <v>03</v>
          </cell>
          <cell r="F62" t="str">
            <v>013</v>
          </cell>
          <cell r="K62" t="str">
            <v>GP-Estímulos a los empleados del estado</v>
          </cell>
        </row>
        <row r="63">
          <cell r="A63" t="str">
            <v>010203014</v>
          </cell>
          <cell r="B63" t="str">
            <v>01-02-03-014</v>
          </cell>
          <cell r="C63" t="str">
            <v>01</v>
          </cell>
          <cell r="D63" t="str">
            <v>02</v>
          </cell>
          <cell r="E63" t="str">
            <v>03</v>
          </cell>
          <cell r="F63" t="str">
            <v>014</v>
          </cell>
          <cell r="K63" t="str">
            <v>GP-Remuneración electoral</v>
          </cell>
        </row>
        <row r="64">
          <cell r="A64" t="str">
            <v>010203015</v>
          </cell>
          <cell r="B64" t="str">
            <v>01-02-03-015</v>
          </cell>
          <cell r="C64" t="str">
            <v>01</v>
          </cell>
          <cell r="D64" t="str">
            <v>02</v>
          </cell>
          <cell r="E64" t="str">
            <v>03</v>
          </cell>
          <cell r="F64" t="str">
            <v>015</v>
          </cell>
          <cell r="K64" t="str">
            <v>GP-Prima de instalación</v>
          </cell>
        </row>
        <row r="65">
          <cell r="A65" t="str">
            <v>010203016</v>
          </cell>
          <cell r="B65" t="str">
            <v>01-02-03-016</v>
          </cell>
          <cell r="C65" t="str">
            <v>01</v>
          </cell>
          <cell r="D65" t="str">
            <v>02</v>
          </cell>
          <cell r="E65" t="str">
            <v>03</v>
          </cell>
          <cell r="F65" t="str">
            <v>016</v>
          </cell>
          <cell r="K65" t="str">
            <v>GP-Prima de coordinación</v>
          </cell>
        </row>
        <row r="66">
          <cell r="A66" t="str">
            <v>010203017</v>
          </cell>
          <cell r="B66" t="str">
            <v>01-02-03-017</v>
          </cell>
          <cell r="C66" t="str">
            <v>01</v>
          </cell>
          <cell r="D66" t="str">
            <v>02</v>
          </cell>
          <cell r="E66" t="str">
            <v>03</v>
          </cell>
          <cell r="F66" t="str">
            <v>017</v>
          </cell>
          <cell r="K66" t="str">
            <v>GP-Prima de alta gestión</v>
          </cell>
        </row>
        <row r="67">
          <cell r="A67" t="str">
            <v>010203018</v>
          </cell>
          <cell r="B67" t="str">
            <v>01-02-03-018</v>
          </cell>
          <cell r="C67" t="str">
            <v>01</v>
          </cell>
          <cell r="D67" t="str">
            <v>02</v>
          </cell>
          <cell r="E67" t="str">
            <v>03</v>
          </cell>
          <cell r="F67" t="str">
            <v>018</v>
          </cell>
          <cell r="K67" t="str">
            <v>GP-Prima de alto mando</v>
          </cell>
        </row>
        <row r="68">
          <cell r="A68" t="str">
            <v>010203019</v>
          </cell>
          <cell r="B68" t="str">
            <v>01-02-03-019</v>
          </cell>
          <cell r="C68" t="str">
            <v>01</v>
          </cell>
          <cell r="D68" t="str">
            <v>02</v>
          </cell>
          <cell r="E68" t="str">
            <v>03</v>
          </cell>
          <cell r="F68" t="str">
            <v>019</v>
          </cell>
          <cell r="K68" t="str">
            <v>GP-Prima de instalación en el exterior</v>
          </cell>
        </row>
        <row r="69">
          <cell r="A69" t="str">
            <v>010203020</v>
          </cell>
          <cell r="B69" t="str">
            <v>01-02-03-020</v>
          </cell>
          <cell r="C69" t="str">
            <v>01</v>
          </cell>
          <cell r="D69" t="str">
            <v>02</v>
          </cell>
          <cell r="E69" t="str">
            <v>03</v>
          </cell>
          <cell r="F69" t="str">
            <v>020</v>
          </cell>
          <cell r="K69" t="str">
            <v>GP-Prima de alojamiento en el exterior</v>
          </cell>
        </row>
        <row r="70">
          <cell r="A70" t="str">
            <v>010203021</v>
          </cell>
          <cell r="B70" t="str">
            <v>01-02-03-021</v>
          </cell>
          <cell r="C70" t="str">
            <v>01</v>
          </cell>
          <cell r="D70" t="str">
            <v>02</v>
          </cell>
          <cell r="E70" t="str">
            <v>03</v>
          </cell>
          <cell r="F70" t="str">
            <v>021</v>
          </cell>
          <cell r="K70" t="str">
            <v>GP-Vivienda para embajadores</v>
          </cell>
        </row>
        <row r="71">
          <cell r="A71" t="str">
            <v>010203022</v>
          </cell>
          <cell r="B71" t="str">
            <v>01-02-03-022</v>
          </cell>
          <cell r="C71" t="str">
            <v>01</v>
          </cell>
          <cell r="D71" t="str">
            <v>02</v>
          </cell>
          <cell r="E71" t="str">
            <v>03</v>
          </cell>
          <cell r="F71" t="str">
            <v>022</v>
          </cell>
          <cell r="K71" t="str">
            <v>GP-Bonificación por seguro de vida colectivo</v>
          </cell>
        </row>
        <row r="72">
          <cell r="A72" t="str">
            <v>010203023</v>
          </cell>
          <cell r="B72" t="str">
            <v>01-02-03-023</v>
          </cell>
          <cell r="C72" t="str">
            <v>01</v>
          </cell>
          <cell r="D72" t="str">
            <v>02</v>
          </cell>
          <cell r="E72" t="str">
            <v>03</v>
          </cell>
          <cell r="F72" t="str">
            <v>023</v>
          </cell>
          <cell r="K72" t="str">
            <v>GP-Bonificación licenciamiento</v>
          </cell>
        </row>
        <row r="73">
          <cell r="A73" t="str">
            <v>010203024</v>
          </cell>
          <cell r="B73" t="str">
            <v>01-02-03-024</v>
          </cell>
          <cell r="C73" t="str">
            <v>01</v>
          </cell>
          <cell r="D73" t="str">
            <v>02</v>
          </cell>
          <cell r="E73" t="str">
            <v>03</v>
          </cell>
          <cell r="F73" t="str">
            <v>024</v>
          </cell>
          <cell r="K73" t="str">
            <v>GP-Bonificación dragoneante</v>
          </cell>
        </row>
        <row r="74">
          <cell r="A74" t="str">
            <v>010203025</v>
          </cell>
          <cell r="B74" t="str">
            <v>01-02-03-025</v>
          </cell>
          <cell r="C74" t="str">
            <v>01</v>
          </cell>
          <cell r="D74" t="str">
            <v>02</v>
          </cell>
          <cell r="E74" t="str">
            <v>03</v>
          </cell>
          <cell r="F74" t="str">
            <v>025</v>
          </cell>
          <cell r="K74" t="str">
            <v>GP-Bonificación agente cuerpo profesional especial</v>
          </cell>
        </row>
        <row r="75">
          <cell r="A75" t="str">
            <v>010203026</v>
          </cell>
          <cell r="B75" t="str">
            <v>01-02-03-026</v>
          </cell>
          <cell r="C75" t="str">
            <v>01</v>
          </cell>
          <cell r="D75" t="str">
            <v>02</v>
          </cell>
          <cell r="E75" t="str">
            <v>03</v>
          </cell>
          <cell r="F75" t="str">
            <v>026</v>
          </cell>
          <cell r="K75" t="str">
            <v>GP-Bonificación buena conducta</v>
          </cell>
        </row>
        <row r="76">
          <cell r="A76" t="str">
            <v>010203027</v>
          </cell>
          <cell r="B76" t="str">
            <v>01-02-03-027</v>
          </cell>
          <cell r="C76" t="str">
            <v>01</v>
          </cell>
          <cell r="D76" t="str">
            <v>02</v>
          </cell>
          <cell r="E76" t="str">
            <v>03</v>
          </cell>
          <cell r="F76" t="str">
            <v>027</v>
          </cell>
          <cell r="K76" t="str">
            <v>GP-Partida alimentación soldados</v>
          </cell>
        </row>
        <row r="77">
          <cell r="A77" t="str">
            <v>010203028</v>
          </cell>
          <cell r="B77" t="str">
            <v>01-02-03-028</v>
          </cell>
          <cell r="C77" t="str">
            <v>01</v>
          </cell>
          <cell r="D77" t="str">
            <v>02</v>
          </cell>
          <cell r="E77" t="str">
            <v>03</v>
          </cell>
          <cell r="F77" t="str">
            <v>028</v>
          </cell>
          <cell r="K77" t="str">
            <v>GP-Partida alimentación orden público y cobertura de fronteras</v>
          </cell>
        </row>
        <row r="78">
          <cell r="A78" t="str">
            <v>010203029</v>
          </cell>
          <cell r="B78" t="str">
            <v>01-02-03-029</v>
          </cell>
          <cell r="C78" t="str">
            <v>01</v>
          </cell>
          <cell r="D78" t="str">
            <v>02</v>
          </cell>
          <cell r="E78" t="str">
            <v>03</v>
          </cell>
          <cell r="F78" t="str">
            <v>029</v>
          </cell>
          <cell r="K78" t="str">
            <v>GP-Bonificación de actividad judicial</v>
          </cell>
        </row>
        <row r="79">
          <cell r="A79" t="str">
            <v>010203030</v>
          </cell>
          <cell r="B79" t="str">
            <v>01-02-03-030</v>
          </cell>
          <cell r="C79" t="str">
            <v>01</v>
          </cell>
          <cell r="D79" t="str">
            <v>02</v>
          </cell>
          <cell r="E79" t="str">
            <v>03</v>
          </cell>
          <cell r="F79" t="str">
            <v>030</v>
          </cell>
          <cell r="K79" t="str">
            <v>GP-Bonificación de dirección</v>
          </cell>
        </row>
        <row r="80">
          <cell r="A80" t="str">
            <v>010203031</v>
          </cell>
          <cell r="B80" t="str">
            <v>01-02-03-031</v>
          </cell>
          <cell r="C80" t="str">
            <v>01</v>
          </cell>
          <cell r="D80" t="str">
            <v>02</v>
          </cell>
          <cell r="E80" t="str">
            <v>03</v>
          </cell>
          <cell r="F80" t="str">
            <v>031</v>
          </cell>
          <cell r="K80" t="str">
            <v>GP-Bonificación especial personal secuestrado</v>
          </cell>
        </row>
        <row r="81">
          <cell r="A81" t="str">
            <v>010203032</v>
          </cell>
          <cell r="B81" t="str">
            <v>01-02-03-032</v>
          </cell>
          <cell r="C81" t="str">
            <v>01</v>
          </cell>
          <cell r="D81" t="str">
            <v>02</v>
          </cell>
          <cell r="E81" t="str">
            <v>03</v>
          </cell>
          <cell r="F81" t="str">
            <v>032</v>
          </cell>
          <cell r="K81" t="str">
            <v>GP-Prima de traslado</v>
          </cell>
        </row>
        <row r="82">
          <cell r="A82" t="str">
            <v>010203033</v>
          </cell>
          <cell r="B82" t="str">
            <v>01-02-03-033</v>
          </cell>
          <cell r="C82" t="str">
            <v>01</v>
          </cell>
          <cell r="D82" t="str">
            <v>02</v>
          </cell>
          <cell r="E82" t="str">
            <v>03</v>
          </cell>
          <cell r="F82" t="str">
            <v>033</v>
          </cell>
          <cell r="K82" t="str">
            <v>GP-Rurales</v>
          </cell>
        </row>
        <row r="83">
          <cell r="A83" t="str">
            <v>010203034</v>
          </cell>
          <cell r="B83" t="str">
            <v>01-02-03-034</v>
          </cell>
          <cell r="C83" t="str">
            <v>01</v>
          </cell>
          <cell r="D83" t="str">
            <v>02</v>
          </cell>
          <cell r="E83" t="str">
            <v>03</v>
          </cell>
          <cell r="F83" t="str">
            <v>034</v>
          </cell>
          <cell r="K83" t="str">
            <v>GP-Bonos escolares y navideños</v>
          </cell>
        </row>
        <row r="84">
          <cell r="A84" t="str">
            <v>010203035</v>
          </cell>
          <cell r="B84" t="str">
            <v>01-02-03-035</v>
          </cell>
          <cell r="C84" t="str">
            <v>01</v>
          </cell>
          <cell r="D84" t="str">
            <v>02</v>
          </cell>
          <cell r="E84" t="str">
            <v>03</v>
          </cell>
          <cell r="F84" t="str">
            <v>035</v>
          </cell>
          <cell r="K84" t="str">
            <v>GP-Alimentación alumnos</v>
          </cell>
        </row>
        <row r="85">
          <cell r="A85" t="str">
            <v>010203036</v>
          </cell>
          <cell r="B85" t="str">
            <v>01-02-03-036</v>
          </cell>
          <cell r="C85" t="str">
            <v>01</v>
          </cell>
          <cell r="D85" t="str">
            <v>02</v>
          </cell>
          <cell r="E85" t="str">
            <v>03</v>
          </cell>
          <cell r="F85" t="str">
            <v>036</v>
          </cell>
          <cell r="K85" t="str">
            <v>GP-Bonificación alumnos</v>
          </cell>
        </row>
        <row r="86">
          <cell r="A86" t="str">
            <v>010203037</v>
          </cell>
          <cell r="B86" t="str">
            <v>01-02-03-037</v>
          </cell>
          <cell r="C86" t="str">
            <v>01</v>
          </cell>
          <cell r="D86" t="str">
            <v>02</v>
          </cell>
          <cell r="E86" t="str">
            <v>03</v>
          </cell>
          <cell r="F86" t="str">
            <v>037</v>
          </cell>
          <cell r="K86" t="str">
            <v>GP-Subsidio familiar</v>
          </cell>
        </row>
        <row r="87">
          <cell r="A87" t="str">
            <v>010203038001</v>
          </cell>
          <cell r="B87" t="str">
            <v>01-02-03-038-001</v>
          </cell>
          <cell r="C87" t="str">
            <v>01</v>
          </cell>
          <cell r="D87" t="str">
            <v>02</v>
          </cell>
          <cell r="E87" t="str">
            <v>03</v>
          </cell>
          <cell r="F87" t="str">
            <v>038</v>
          </cell>
          <cell r="G87" t="str">
            <v>001</v>
          </cell>
          <cell r="K87" t="str">
            <v>GP-Beneficios a los empleados a corto plazo</v>
          </cell>
        </row>
        <row r="88">
          <cell r="A88" t="str">
            <v>010203038002</v>
          </cell>
          <cell r="B88" t="str">
            <v>01-02-03-038-002</v>
          </cell>
          <cell r="C88" t="str">
            <v>01</v>
          </cell>
          <cell r="D88" t="str">
            <v>02</v>
          </cell>
          <cell r="E88" t="str">
            <v>03</v>
          </cell>
          <cell r="F88" t="str">
            <v>038</v>
          </cell>
          <cell r="G88" t="str">
            <v>002</v>
          </cell>
          <cell r="K88" t="str">
            <v>GP-Beneficios a los empleados a largo plazo</v>
          </cell>
        </row>
        <row r="89">
          <cell r="A89" t="str">
            <v>010203039</v>
          </cell>
          <cell r="B89" t="str">
            <v>01-02-03-039</v>
          </cell>
          <cell r="C89" t="str">
            <v>01</v>
          </cell>
          <cell r="D89" t="str">
            <v>02</v>
          </cell>
          <cell r="E89" t="str">
            <v>03</v>
          </cell>
          <cell r="F89" t="str">
            <v>039</v>
          </cell>
          <cell r="K89" t="str">
            <v>GP-Incentivos laborales dian</v>
          </cell>
        </row>
        <row r="90">
          <cell r="A90" t="str">
            <v>010203040</v>
          </cell>
          <cell r="B90" t="str">
            <v>01-02-03-040</v>
          </cell>
          <cell r="C90" t="str">
            <v>01</v>
          </cell>
          <cell r="D90" t="str">
            <v>02</v>
          </cell>
          <cell r="E90" t="str">
            <v>03</v>
          </cell>
          <cell r="F90" t="str">
            <v>040</v>
          </cell>
          <cell r="K90" t="str">
            <v>GP-Prima de seguridad</v>
          </cell>
        </row>
        <row r="91">
          <cell r="A91" t="str">
            <v>010203041</v>
          </cell>
          <cell r="B91" t="str">
            <v>01-02-03-041</v>
          </cell>
          <cell r="C91" t="str">
            <v>01</v>
          </cell>
          <cell r="D91" t="str">
            <v>02</v>
          </cell>
          <cell r="E91" t="str">
            <v>03</v>
          </cell>
          <cell r="F91" t="str">
            <v>041</v>
          </cell>
          <cell r="K91" t="str">
            <v>GP-Prima de vigilantes instructores</v>
          </cell>
        </row>
        <row r="92">
          <cell r="A92" t="str">
            <v>010203042</v>
          </cell>
          <cell r="B92" t="str">
            <v>01-02-03-042</v>
          </cell>
          <cell r="C92" t="str">
            <v>01</v>
          </cell>
          <cell r="D92" t="str">
            <v>02</v>
          </cell>
          <cell r="E92" t="str">
            <v>03</v>
          </cell>
          <cell r="F92" t="str">
            <v>042</v>
          </cell>
          <cell r="K92" t="str">
            <v>GP-Bonificación servicio militar</v>
          </cell>
        </row>
        <row r="93">
          <cell r="A93" t="str">
            <v>010203043</v>
          </cell>
          <cell r="B93" t="str">
            <v>01-02-03-043</v>
          </cell>
          <cell r="C93" t="str">
            <v>01</v>
          </cell>
          <cell r="D93" t="str">
            <v>02</v>
          </cell>
          <cell r="E93" t="str">
            <v>03</v>
          </cell>
          <cell r="F93" t="str">
            <v>043</v>
          </cell>
          <cell r="K93" t="str">
            <v>GP-Bonificación por trabajo y servicios internos</v>
          </cell>
        </row>
        <row r="94">
          <cell r="A94" t="str">
            <v>010203044</v>
          </cell>
          <cell r="B94" t="str">
            <v>01-02-03-044</v>
          </cell>
          <cell r="C94" t="str">
            <v>01</v>
          </cell>
          <cell r="D94" t="str">
            <v>02</v>
          </cell>
          <cell r="E94" t="str">
            <v>03</v>
          </cell>
          <cell r="F94" t="str">
            <v>044</v>
          </cell>
          <cell r="K94" t="str">
            <v>GP-Seguro de muerte en actividad</v>
          </cell>
        </row>
        <row r="95">
          <cell r="A95" t="str">
            <v>010203046</v>
          </cell>
          <cell r="B95" t="str">
            <v>01-02-03-046</v>
          </cell>
          <cell r="C95" t="str">
            <v>01</v>
          </cell>
          <cell r="D95" t="str">
            <v>02</v>
          </cell>
          <cell r="E95" t="str">
            <v>03</v>
          </cell>
          <cell r="F95" t="str">
            <v>046</v>
          </cell>
          <cell r="K95" t="str">
            <v>GP-Prima de orden público</v>
          </cell>
        </row>
        <row r="96">
          <cell r="A96" t="str">
            <v>010203047</v>
          </cell>
          <cell r="B96" t="str">
            <v>01-02-03-047</v>
          </cell>
          <cell r="C96" t="str">
            <v>01</v>
          </cell>
          <cell r="D96" t="str">
            <v>02</v>
          </cell>
          <cell r="E96" t="str">
            <v>03</v>
          </cell>
          <cell r="F96" t="str">
            <v>047</v>
          </cell>
          <cell r="K96" t="str">
            <v>GP-Bonificación edecanes</v>
          </cell>
        </row>
        <row r="97">
          <cell r="A97" t="str">
            <v>010203048</v>
          </cell>
          <cell r="B97" t="str">
            <v>01-02-03-048</v>
          </cell>
          <cell r="C97" t="str">
            <v>01</v>
          </cell>
          <cell r="D97" t="str">
            <v>02</v>
          </cell>
          <cell r="E97" t="str">
            <v>03</v>
          </cell>
          <cell r="F97" t="str">
            <v>048</v>
          </cell>
          <cell r="K97" t="str">
            <v>GP-Prima de bucería</v>
          </cell>
        </row>
        <row r="98">
          <cell r="A98" t="str">
            <v>010203049</v>
          </cell>
          <cell r="B98" t="str">
            <v>01-02-03-049</v>
          </cell>
          <cell r="C98" t="str">
            <v>01</v>
          </cell>
          <cell r="D98" t="str">
            <v>02</v>
          </cell>
          <cell r="E98" t="str">
            <v>03</v>
          </cell>
          <cell r="F98" t="str">
            <v>049</v>
          </cell>
          <cell r="K98" t="str">
            <v>GP-Prima comandos</v>
          </cell>
        </row>
        <row r="99">
          <cell r="A99" t="str">
            <v>010203050</v>
          </cell>
          <cell r="B99" t="str">
            <v>01-02-03-050</v>
          </cell>
          <cell r="C99" t="str">
            <v>01</v>
          </cell>
          <cell r="D99" t="str">
            <v>02</v>
          </cell>
          <cell r="E99" t="str">
            <v>03</v>
          </cell>
          <cell r="F99" t="str">
            <v>050</v>
          </cell>
          <cell r="K99" t="str">
            <v>GP-Prima de estado mayor</v>
          </cell>
        </row>
        <row r="100">
          <cell r="A100" t="str">
            <v>010203051</v>
          </cell>
          <cell r="B100" t="str">
            <v>01-02-03-051</v>
          </cell>
          <cell r="C100" t="str">
            <v>01</v>
          </cell>
          <cell r="D100" t="str">
            <v>02</v>
          </cell>
          <cell r="E100" t="str">
            <v>03</v>
          </cell>
          <cell r="F100" t="str">
            <v>051</v>
          </cell>
          <cell r="K100" t="str">
            <v>GP-Prima submarinista</v>
          </cell>
        </row>
        <row r="101">
          <cell r="A101" t="str">
            <v>010203052</v>
          </cell>
          <cell r="B101" t="str">
            <v>01-02-03-052</v>
          </cell>
          <cell r="C101" t="str">
            <v>01</v>
          </cell>
          <cell r="D101" t="str">
            <v>02</v>
          </cell>
          <cell r="E101" t="str">
            <v>03</v>
          </cell>
          <cell r="F101" t="str">
            <v>052</v>
          </cell>
          <cell r="K101" t="str">
            <v>GP-Prima de salto</v>
          </cell>
        </row>
        <row r="102">
          <cell r="A102" t="str">
            <v>010203053</v>
          </cell>
          <cell r="B102" t="str">
            <v>01-02-03-053</v>
          </cell>
          <cell r="C102" t="str">
            <v>01</v>
          </cell>
          <cell r="D102" t="str">
            <v>02</v>
          </cell>
          <cell r="E102" t="str">
            <v>03</v>
          </cell>
          <cell r="F102" t="str">
            <v>053</v>
          </cell>
          <cell r="K102" t="str">
            <v>GP-Prima de vuelo</v>
          </cell>
        </row>
        <row r="103">
          <cell r="A103" t="str">
            <v>010203054</v>
          </cell>
          <cell r="B103" t="str">
            <v>01-02-03-054</v>
          </cell>
          <cell r="C103" t="str">
            <v>01</v>
          </cell>
          <cell r="D103" t="str">
            <v>02</v>
          </cell>
          <cell r="E103" t="str">
            <v>03</v>
          </cell>
          <cell r="F103" t="str">
            <v>054</v>
          </cell>
          <cell r="K103" t="str">
            <v>GP-Prima especialista</v>
          </cell>
        </row>
        <row r="104">
          <cell r="A104" t="str">
            <v>010203055</v>
          </cell>
          <cell r="B104" t="str">
            <v>01-02-03-055</v>
          </cell>
          <cell r="C104" t="str">
            <v>01</v>
          </cell>
          <cell r="D104" t="str">
            <v>02</v>
          </cell>
          <cell r="E104" t="str">
            <v>03</v>
          </cell>
          <cell r="F104" t="str">
            <v>055</v>
          </cell>
          <cell r="K104" t="str">
            <v>GP-Prima oficiales superiores</v>
          </cell>
        </row>
        <row r="105">
          <cell r="A105" t="str">
            <v>010203056</v>
          </cell>
          <cell r="B105" t="str">
            <v>01-02-03-056</v>
          </cell>
          <cell r="C105" t="str">
            <v>01</v>
          </cell>
          <cell r="D105" t="str">
            <v>02</v>
          </cell>
          <cell r="E105" t="str">
            <v>03</v>
          </cell>
          <cell r="F105" t="str">
            <v>056</v>
          </cell>
          <cell r="K105" t="str">
            <v>GP-Prima cuerpo administrativo</v>
          </cell>
        </row>
        <row r="106">
          <cell r="A106" t="str">
            <v>010203057</v>
          </cell>
          <cell r="B106" t="str">
            <v>01-02-03-057</v>
          </cell>
          <cell r="C106" t="str">
            <v>01</v>
          </cell>
          <cell r="D106" t="str">
            <v>02</v>
          </cell>
          <cell r="E106" t="str">
            <v>03</v>
          </cell>
          <cell r="F106" t="str">
            <v>057</v>
          </cell>
          <cell r="K106" t="str">
            <v>GP-Bonificación aeronáutica</v>
          </cell>
        </row>
        <row r="107">
          <cell r="A107" t="str">
            <v>010203058</v>
          </cell>
          <cell r="B107" t="str">
            <v>01-02-03-058</v>
          </cell>
          <cell r="C107" t="str">
            <v>01</v>
          </cell>
          <cell r="D107" t="str">
            <v>02</v>
          </cell>
          <cell r="E107" t="str">
            <v>03</v>
          </cell>
          <cell r="F107" t="str">
            <v>058</v>
          </cell>
          <cell r="K107" t="str">
            <v>GP-Prima de productividad</v>
          </cell>
        </row>
        <row r="108">
          <cell r="A108" t="str">
            <v>010203059</v>
          </cell>
          <cell r="B108" t="str">
            <v>01-02-03-059</v>
          </cell>
          <cell r="C108" t="str">
            <v>01</v>
          </cell>
          <cell r="D108" t="str">
            <v>02</v>
          </cell>
          <cell r="E108" t="str">
            <v>03</v>
          </cell>
          <cell r="F108" t="str">
            <v>059</v>
          </cell>
          <cell r="K108" t="str">
            <v>GP-Bonificación judicial</v>
          </cell>
        </row>
        <row r="109">
          <cell r="A109" t="str">
            <v>010203060</v>
          </cell>
          <cell r="B109" t="str">
            <v>01-02-03-060</v>
          </cell>
          <cell r="C109" t="str">
            <v>01</v>
          </cell>
          <cell r="D109" t="str">
            <v>02</v>
          </cell>
          <cell r="E109" t="str">
            <v>03</v>
          </cell>
          <cell r="F109" t="str">
            <v>060</v>
          </cell>
          <cell r="K109" t="str">
            <v>GP-Bonificación por servicios de protección y vigilancia</v>
          </cell>
        </row>
        <row r="110">
          <cell r="A110" t="str">
            <v>010203061</v>
          </cell>
          <cell r="B110" t="str">
            <v>01-02-03-061</v>
          </cell>
          <cell r="C110" t="str">
            <v>01</v>
          </cell>
          <cell r="D110" t="str">
            <v>02</v>
          </cell>
          <cell r="E110" t="str">
            <v>03</v>
          </cell>
          <cell r="F110" t="str">
            <v>061</v>
          </cell>
          <cell r="K110" t="str">
            <v>GP-Prima mensual oficiales y suboficiales</v>
          </cell>
        </row>
        <row r="111">
          <cell r="A111" t="str">
            <v>010203062</v>
          </cell>
          <cell r="B111" t="str">
            <v>01-02-03-062</v>
          </cell>
          <cell r="C111" t="str">
            <v>01</v>
          </cell>
          <cell r="D111" t="str">
            <v>02</v>
          </cell>
          <cell r="E111" t="str">
            <v>03</v>
          </cell>
          <cell r="F111" t="str">
            <v>062</v>
          </cell>
          <cell r="K111" t="str">
            <v>GP-Bonificación para gastos personales del batallón guardia presidencial y de los batallones de policía militar</v>
          </cell>
        </row>
        <row r="112">
          <cell r="A112" t="str">
            <v>02010100100101</v>
          </cell>
          <cell r="B112" t="str">
            <v>02-01-01-001-001-01</v>
          </cell>
          <cell r="C112" t="str">
            <v>02</v>
          </cell>
          <cell r="D112" t="str">
            <v>01</v>
          </cell>
          <cell r="E112" t="str">
            <v>01</v>
          </cell>
          <cell r="F112" t="str">
            <v>001</v>
          </cell>
          <cell r="G112" t="str">
            <v>001</v>
          </cell>
          <cell r="H112" t="str">
            <v>01</v>
          </cell>
          <cell r="K112" t="str">
            <v>AANF-Viviendas edificios utilizados para residencia</v>
          </cell>
        </row>
        <row r="113">
          <cell r="A113" t="str">
            <v>02010100100102</v>
          </cell>
          <cell r="B113" t="str">
            <v>02-01-01-001-001-02</v>
          </cell>
          <cell r="C113" t="str">
            <v>02</v>
          </cell>
          <cell r="D113" t="str">
            <v>01</v>
          </cell>
          <cell r="E113" t="str">
            <v>01</v>
          </cell>
          <cell r="F113" t="str">
            <v>001</v>
          </cell>
          <cell r="G113" t="str">
            <v>001</v>
          </cell>
          <cell r="H113" t="str">
            <v>02</v>
          </cell>
          <cell r="K113" t="str">
            <v>AANF-Viviendas casas flotantes</v>
          </cell>
        </row>
        <row r="114">
          <cell r="A114" t="str">
            <v>02010100100103</v>
          </cell>
          <cell r="B114" t="str">
            <v>02-01-01-001-001-03</v>
          </cell>
          <cell r="C114" t="str">
            <v>02</v>
          </cell>
          <cell r="D114" t="str">
            <v>01</v>
          </cell>
          <cell r="E114" t="str">
            <v>01</v>
          </cell>
          <cell r="F114" t="str">
            <v>001</v>
          </cell>
          <cell r="G114" t="str">
            <v>001</v>
          </cell>
          <cell r="H114" t="str">
            <v>03</v>
          </cell>
          <cell r="K114" t="str">
            <v>AANF-Viviendas barcazas</v>
          </cell>
        </row>
        <row r="115">
          <cell r="A115" t="str">
            <v>02010100100104</v>
          </cell>
          <cell r="B115" t="str">
            <v>02-01-01-001-001-04</v>
          </cell>
          <cell r="C115" t="str">
            <v>02</v>
          </cell>
          <cell r="D115" t="str">
            <v>01</v>
          </cell>
          <cell r="E115" t="str">
            <v>01</v>
          </cell>
          <cell r="F115" t="str">
            <v>001</v>
          </cell>
          <cell r="G115" t="str">
            <v>001</v>
          </cell>
          <cell r="H115" t="str">
            <v>04</v>
          </cell>
          <cell r="K115" t="str">
            <v>AANF-Viviendas viviendas móviles</v>
          </cell>
        </row>
        <row r="116">
          <cell r="A116" t="str">
            <v>02010100100105</v>
          </cell>
          <cell r="B116" t="str">
            <v>02-01-01-001-001-05</v>
          </cell>
          <cell r="C116" t="str">
            <v>02</v>
          </cell>
          <cell r="D116" t="str">
            <v>01</v>
          </cell>
          <cell r="E116" t="str">
            <v>01</v>
          </cell>
          <cell r="F116" t="str">
            <v>001</v>
          </cell>
          <cell r="G116" t="str">
            <v>001</v>
          </cell>
          <cell r="H116" t="str">
            <v>05</v>
          </cell>
          <cell r="K116" t="str">
            <v>AANF-Viviendas coches habitación</v>
          </cell>
        </row>
        <row r="117">
          <cell r="A117" t="str">
            <v>02010100100106</v>
          </cell>
          <cell r="B117" t="str">
            <v>02-01-01-001-001-06</v>
          </cell>
          <cell r="C117" t="str">
            <v>02</v>
          </cell>
          <cell r="D117" t="str">
            <v>01</v>
          </cell>
          <cell r="E117" t="str">
            <v>01</v>
          </cell>
          <cell r="F117" t="str">
            <v>001</v>
          </cell>
          <cell r="G117" t="str">
            <v>001</v>
          </cell>
          <cell r="H117" t="str">
            <v>06</v>
          </cell>
          <cell r="K117" t="str">
            <v>AANF-Viviendas monumentos públicos considerados principalmente como viviendas</v>
          </cell>
        </row>
        <row r="118">
          <cell r="A118" t="str">
            <v>02010100100107</v>
          </cell>
          <cell r="B118" t="str">
            <v>02-01-01-001-001-07</v>
          </cell>
          <cell r="C118" t="str">
            <v>02</v>
          </cell>
          <cell r="D118" t="str">
            <v>01</v>
          </cell>
          <cell r="E118" t="str">
            <v>01</v>
          </cell>
          <cell r="F118" t="str">
            <v>001</v>
          </cell>
          <cell r="G118" t="str">
            <v>001</v>
          </cell>
          <cell r="H118" t="str">
            <v>07</v>
          </cell>
          <cell r="K118" t="str">
            <v>AANF-Viviendas viviendas para personal militar</v>
          </cell>
        </row>
        <row r="119">
          <cell r="A119" t="str">
            <v>02010100100108</v>
          </cell>
          <cell r="B119" t="str">
            <v>02-01-01-001-001-08</v>
          </cell>
          <cell r="C119" t="str">
            <v>02</v>
          </cell>
          <cell r="D119" t="str">
            <v>01</v>
          </cell>
          <cell r="E119" t="str">
            <v>01</v>
          </cell>
          <cell r="F119" t="str">
            <v>001</v>
          </cell>
          <cell r="G119" t="str">
            <v>001</v>
          </cell>
          <cell r="H119" t="str">
            <v>08</v>
          </cell>
          <cell r="K119" t="str">
            <v>AANF-Viviendas construcciones prefabricadas</v>
          </cell>
        </row>
        <row r="120">
          <cell r="A120" t="str">
            <v>02010100100109</v>
          </cell>
          <cell r="B120" t="str">
            <v>02-01-01-001-001-09</v>
          </cell>
          <cell r="C120" t="str">
            <v>02</v>
          </cell>
          <cell r="D120" t="str">
            <v>01</v>
          </cell>
          <cell r="E120" t="str">
            <v>01</v>
          </cell>
          <cell r="F120" t="str">
            <v>001</v>
          </cell>
          <cell r="G120" t="str">
            <v>001</v>
          </cell>
          <cell r="H120" t="str">
            <v>09</v>
          </cell>
          <cell r="K120" t="str">
            <v>AANF-Viviendas otros edificios utilizados como residencia</v>
          </cell>
        </row>
        <row r="121">
          <cell r="A121" t="str">
            <v>02010100100201</v>
          </cell>
          <cell r="B121" t="str">
            <v>02-01-01-001-002-01</v>
          </cell>
          <cell r="C121" t="str">
            <v>02</v>
          </cell>
          <cell r="D121" t="str">
            <v>01</v>
          </cell>
          <cell r="E121" t="str">
            <v>01</v>
          </cell>
          <cell r="F121" t="str">
            <v>001</v>
          </cell>
          <cell r="G121" t="str">
            <v>002</v>
          </cell>
          <cell r="H121" t="str">
            <v>01</v>
          </cell>
          <cell r="K121" t="str">
            <v>AANF-Otros edificios distintos a viviendas monumentos públicos no residenciales</v>
          </cell>
        </row>
        <row r="122">
          <cell r="A122" t="str">
            <v>02010100100202</v>
          </cell>
          <cell r="B122" t="str">
            <v>02-01-01-001-002-02</v>
          </cell>
          <cell r="C122" t="str">
            <v>02</v>
          </cell>
          <cell r="D122" t="str">
            <v>01</v>
          </cell>
          <cell r="E122" t="str">
            <v>01</v>
          </cell>
          <cell r="F122" t="str">
            <v>001</v>
          </cell>
          <cell r="G122" t="str">
            <v>002</v>
          </cell>
          <cell r="H122" t="str">
            <v>02</v>
          </cell>
          <cell r="K122" t="str">
            <v>AANF-Otros edificios distintos a viviendas edificios industriales</v>
          </cell>
        </row>
        <row r="123">
          <cell r="A123" t="str">
            <v>02010100100203</v>
          </cell>
          <cell r="B123" t="str">
            <v>02-01-01-001-002-03</v>
          </cell>
          <cell r="C123" t="str">
            <v>02</v>
          </cell>
          <cell r="D123" t="str">
            <v>01</v>
          </cell>
          <cell r="E123" t="str">
            <v>01</v>
          </cell>
          <cell r="F123" t="str">
            <v>001</v>
          </cell>
          <cell r="G123" t="str">
            <v>002</v>
          </cell>
          <cell r="H123" t="str">
            <v>03</v>
          </cell>
          <cell r="K123" t="str">
            <v>AANF-Otros edificios distintos a viviendas edificios comerciales</v>
          </cell>
        </row>
        <row r="124">
          <cell r="A124" t="str">
            <v>02010100100204</v>
          </cell>
          <cell r="B124" t="str">
            <v>02-01-01-001-002-04</v>
          </cell>
          <cell r="C124" t="str">
            <v>02</v>
          </cell>
          <cell r="D124" t="str">
            <v>01</v>
          </cell>
          <cell r="E124" t="str">
            <v>01</v>
          </cell>
          <cell r="F124" t="str">
            <v>001</v>
          </cell>
          <cell r="G124" t="str">
            <v>002</v>
          </cell>
          <cell r="H124" t="str">
            <v>04</v>
          </cell>
          <cell r="K124" t="str">
            <v>AANF-Otros edificios distintos a viviendas edificios públicos de entretenimiento</v>
          </cell>
        </row>
        <row r="125">
          <cell r="A125" t="str">
            <v>02010100100205</v>
          </cell>
          <cell r="B125" t="str">
            <v>02-01-01-001-002-05</v>
          </cell>
          <cell r="C125" t="str">
            <v>02</v>
          </cell>
          <cell r="D125" t="str">
            <v>01</v>
          </cell>
          <cell r="E125" t="str">
            <v>01</v>
          </cell>
          <cell r="F125" t="str">
            <v>001</v>
          </cell>
          <cell r="G125" t="str">
            <v>002</v>
          </cell>
          <cell r="H125" t="str">
            <v>05</v>
          </cell>
          <cell r="K125" t="str">
            <v>AANF-Otros edificios distintos a viviendas edificios de hoteles</v>
          </cell>
        </row>
        <row r="126">
          <cell r="A126" t="str">
            <v>02010100100206</v>
          </cell>
          <cell r="B126" t="str">
            <v>02-01-01-001-002-06</v>
          </cell>
          <cell r="C126" t="str">
            <v>02</v>
          </cell>
          <cell r="D126" t="str">
            <v>01</v>
          </cell>
          <cell r="E126" t="str">
            <v>01</v>
          </cell>
          <cell r="F126" t="str">
            <v>001</v>
          </cell>
          <cell r="G126" t="str">
            <v>002</v>
          </cell>
          <cell r="H126" t="str">
            <v>06</v>
          </cell>
          <cell r="K126" t="str">
            <v>AANF-Otros edificios distintos a viviendas restaurantes</v>
          </cell>
        </row>
        <row r="127">
          <cell r="A127" t="str">
            <v>02010100100207</v>
          </cell>
          <cell r="B127" t="str">
            <v>02-01-01-001-002-07</v>
          </cell>
          <cell r="C127" t="str">
            <v>02</v>
          </cell>
          <cell r="D127" t="str">
            <v>01</v>
          </cell>
          <cell r="E127" t="str">
            <v>01</v>
          </cell>
          <cell r="F127" t="str">
            <v>001</v>
          </cell>
          <cell r="G127" t="str">
            <v>002</v>
          </cell>
          <cell r="H127" t="str">
            <v>07</v>
          </cell>
          <cell r="K127" t="str">
            <v>AANF-Otros edificios distintos a viviendas edificios educativos</v>
          </cell>
        </row>
        <row r="128">
          <cell r="A128" t="str">
            <v>02010100100208</v>
          </cell>
          <cell r="B128" t="str">
            <v>02-01-01-001-002-08</v>
          </cell>
          <cell r="C128" t="str">
            <v>02</v>
          </cell>
          <cell r="D128" t="str">
            <v>01</v>
          </cell>
          <cell r="E128" t="str">
            <v>01</v>
          </cell>
          <cell r="F128" t="str">
            <v>001</v>
          </cell>
          <cell r="G128" t="str">
            <v>002</v>
          </cell>
          <cell r="H128" t="str">
            <v>08</v>
          </cell>
          <cell r="K128" t="str">
            <v>AANF-Otros edificios distintos a viviendas edificios relacionados con la salud</v>
          </cell>
        </row>
        <row r="129">
          <cell r="A129" t="str">
            <v>02010100100209</v>
          </cell>
          <cell r="B129" t="str">
            <v>02-01-01-001-002-09</v>
          </cell>
          <cell r="C129" t="str">
            <v>02</v>
          </cell>
          <cell r="D129" t="str">
            <v>01</v>
          </cell>
          <cell r="E129" t="str">
            <v>01</v>
          </cell>
          <cell r="F129" t="str">
            <v>001</v>
          </cell>
          <cell r="G129" t="str">
            <v>002</v>
          </cell>
          <cell r="H129" t="str">
            <v>09</v>
          </cell>
          <cell r="K129" t="str">
            <v>AANF-Otros edificios distintos a viviendas prisiones</v>
          </cell>
        </row>
        <row r="130">
          <cell r="A130" t="str">
            <v>02010100100210</v>
          </cell>
          <cell r="B130" t="str">
            <v>02-01-01-001-002-10</v>
          </cell>
          <cell r="C130" t="str">
            <v>02</v>
          </cell>
          <cell r="D130" t="str">
            <v>01</v>
          </cell>
          <cell r="E130" t="str">
            <v>01</v>
          </cell>
          <cell r="F130" t="str">
            <v>001</v>
          </cell>
          <cell r="G130" t="str">
            <v>002</v>
          </cell>
          <cell r="H130" t="str">
            <v>10</v>
          </cell>
          <cell r="K130" t="str">
            <v>AANF-Otros edificios distintos a viviendas edificios y estructuras para fines militares</v>
          </cell>
        </row>
        <row r="131">
          <cell r="A131" t="str">
            <v>02010100100211</v>
          </cell>
          <cell r="B131" t="str">
            <v>02-01-01-001-002-11</v>
          </cell>
          <cell r="C131" t="str">
            <v>02</v>
          </cell>
          <cell r="D131" t="str">
            <v>01</v>
          </cell>
          <cell r="E131" t="str">
            <v>01</v>
          </cell>
          <cell r="F131" t="str">
            <v>001</v>
          </cell>
          <cell r="G131" t="str">
            <v>002</v>
          </cell>
          <cell r="H131" t="str">
            <v>11</v>
          </cell>
          <cell r="K131" t="str">
            <v>AANF-Otros edificios distintos a viviendas otros edificios no residenciales</v>
          </cell>
        </row>
        <row r="132">
          <cell r="A132" t="str">
            <v>02010100100301</v>
          </cell>
          <cell r="B132" t="str">
            <v>02-01-01-001-003-01</v>
          </cell>
          <cell r="C132" t="str">
            <v>02</v>
          </cell>
          <cell r="D132" t="str">
            <v>01</v>
          </cell>
          <cell r="E132" t="str">
            <v>01</v>
          </cell>
          <cell r="F132" t="str">
            <v>001</v>
          </cell>
          <cell r="G132" t="str">
            <v>003</v>
          </cell>
          <cell r="H132" t="str">
            <v>01</v>
          </cell>
          <cell r="K132" t="str">
            <v>AANF-Otras estructuras autopistas, carreteras, calles</v>
          </cell>
        </row>
        <row r="133">
          <cell r="A133" t="str">
            <v>02010100100302</v>
          </cell>
          <cell r="B133" t="str">
            <v>02-01-01-001-003-02</v>
          </cell>
          <cell r="C133" t="str">
            <v>02</v>
          </cell>
          <cell r="D133" t="str">
            <v>01</v>
          </cell>
          <cell r="E133" t="str">
            <v>01</v>
          </cell>
          <cell r="F133" t="str">
            <v>001</v>
          </cell>
          <cell r="G133" t="str">
            <v>003</v>
          </cell>
          <cell r="H133" t="str">
            <v>02</v>
          </cell>
          <cell r="K133" t="str">
            <v>AANF-Otras estructuras pistas de aterrizaje</v>
          </cell>
        </row>
        <row r="134">
          <cell r="A134" t="str">
            <v>02010100100303</v>
          </cell>
          <cell r="B134" t="str">
            <v>02-01-01-001-003-03</v>
          </cell>
          <cell r="C134" t="str">
            <v>02</v>
          </cell>
          <cell r="D134" t="str">
            <v>01</v>
          </cell>
          <cell r="E134" t="str">
            <v>01</v>
          </cell>
          <cell r="F134" t="str">
            <v>001</v>
          </cell>
          <cell r="G134" t="str">
            <v>003</v>
          </cell>
          <cell r="H134" t="str">
            <v>03</v>
          </cell>
          <cell r="K134" t="str">
            <v>AANF-Otras estructuras ferrocarriles</v>
          </cell>
        </row>
        <row r="135">
          <cell r="A135" t="str">
            <v>02010100100304</v>
          </cell>
          <cell r="B135" t="str">
            <v>02-01-01-001-003-04</v>
          </cell>
          <cell r="C135" t="str">
            <v>02</v>
          </cell>
          <cell r="D135" t="str">
            <v>01</v>
          </cell>
          <cell r="E135" t="str">
            <v>01</v>
          </cell>
          <cell r="F135" t="str">
            <v>001</v>
          </cell>
          <cell r="G135" t="str">
            <v>003</v>
          </cell>
          <cell r="H135" t="str">
            <v>04</v>
          </cell>
          <cell r="K135" t="str">
            <v>AANF-Otras estructuras puentes</v>
          </cell>
        </row>
        <row r="136">
          <cell r="A136" t="str">
            <v>02010100100305</v>
          </cell>
          <cell r="B136" t="str">
            <v>02-01-01-001-003-05</v>
          </cell>
          <cell r="C136" t="str">
            <v>02</v>
          </cell>
          <cell r="D136" t="str">
            <v>01</v>
          </cell>
          <cell r="E136" t="str">
            <v>01</v>
          </cell>
          <cell r="F136" t="str">
            <v>001</v>
          </cell>
          <cell r="G136" t="str">
            <v>003</v>
          </cell>
          <cell r="H136" t="str">
            <v>05</v>
          </cell>
          <cell r="K136" t="str">
            <v>AANF-Otras estructuras carreteras elevadas</v>
          </cell>
        </row>
        <row r="137">
          <cell r="A137" t="str">
            <v>02010100100306</v>
          </cell>
          <cell r="B137" t="str">
            <v>02-01-01-001-003-06</v>
          </cell>
          <cell r="C137" t="str">
            <v>02</v>
          </cell>
          <cell r="D137" t="str">
            <v>01</v>
          </cell>
          <cell r="E137" t="str">
            <v>01</v>
          </cell>
          <cell r="F137" t="str">
            <v>001</v>
          </cell>
          <cell r="G137" t="str">
            <v>003</v>
          </cell>
          <cell r="H137" t="str">
            <v>06</v>
          </cell>
          <cell r="K137" t="str">
            <v>AANF-Otras estructuras túneles</v>
          </cell>
        </row>
        <row r="138">
          <cell r="A138" t="str">
            <v>02010100100307</v>
          </cell>
          <cell r="B138" t="str">
            <v>02-01-01-001-003-07</v>
          </cell>
          <cell r="C138" t="str">
            <v>02</v>
          </cell>
          <cell r="D138" t="str">
            <v>01</v>
          </cell>
          <cell r="E138" t="str">
            <v>01</v>
          </cell>
          <cell r="F138" t="str">
            <v>001</v>
          </cell>
          <cell r="G138" t="str">
            <v>003</v>
          </cell>
          <cell r="H138" t="str">
            <v>07</v>
          </cell>
          <cell r="K138" t="str">
            <v>AANF-Otras estructuras acueductos y otros conductos de suministro de agua, excepto gasoductos</v>
          </cell>
        </row>
        <row r="139">
          <cell r="A139" t="str">
            <v>02010100100308</v>
          </cell>
          <cell r="B139" t="str">
            <v>02-01-01-001-003-08</v>
          </cell>
          <cell r="C139" t="str">
            <v>02</v>
          </cell>
          <cell r="D139" t="str">
            <v>01</v>
          </cell>
          <cell r="E139" t="str">
            <v>01</v>
          </cell>
          <cell r="F139" t="str">
            <v>001</v>
          </cell>
          <cell r="G139" t="str">
            <v>003</v>
          </cell>
          <cell r="H139" t="str">
            <v>08</v>
          </cell>
          <cell r="K139" t="str">
            <v>AANF-Otras estructuras puertos, vías navegables e instalaciones conexas</v>
          </cell>
        </row>
        <row r="140">
          <cell r="A140" t="str">
            <v>02010100100309</v>
          </cell>
          <cell r="B140" t="str">
            <v>02-01-01-001-003-09</v>
          </cell>
          <cell r="C140" t="str">
            <v>02</v>
          </cell>
          <cell r="D140" t="str">
            <v>01</v>
          </cell>
          <cell r="E140" t="str">
            <v>01</v>
          </cell>
          <cell r="F140" t="str">
            <v>001</v>
          </cell>
          <cell r="G140" t="str">
            <v>003</v>
          </cell>
          <cell r="H140" t="str">
            <v>09</v>
          </cell>
          <cell r="K140" t="str">
            <v>AANF-Otras estructuras represas</v>
          </cell>
        </row>
        <row r="141">
          <cell r="A141" t="str">
            <v>02010100100310</v>
          </cell>
          <cell r="B141" t="str">
            <v>02-01-01-001-003-10</v>
          </cell>
          <cell r="C141" t="str">
            <v>02</v>
          </cell>
          <cell r="D141" t="str">
            <v>01</v>
          </cell>
          <cell r="E141" t="str">
            <v>01</v>
          </cell>
          <cell r="F141" t="str">
            <v>001</v>
          </cell>
          <cell r="G141" t="str">
            <v>003</v>
          </cell>
          <cell r="H141" t="str">
            <v>10</v>
          </cell>
          <cell r="K141" t="str">
            <v>AANF-Otras estructuras sistemas de riego y obras hidráulica</v>
          </cell>
        </row>
        <row r="142">
          <cell r="A142" t="str">
            <v>02010100100311</v>
          </cell>
          <cell r="B142" t="str">
            <v>02-01-01-001-003-11</v>
          </cell>
          <cell r="C142" t="str">
            <v>02</v>
          </cell>
          <cell r="D142" t="str">
            <v>01</v>
          </cell>
          <cell r="E142" t="str">
            <v>01</v>
          </cell>
          <cell r="F142" t="str">
            <v>001</v>
          </cell>
          <cell r="G142" t="str">
            <v>003</v>
          </cell>
          <cell r="H142" t="str">
            <v>11</v>
          </cell>
          <cell r="K142" t="str">
            <v>AANF-Otras estructuras tuberías de larga distancia</v>
          </cell>
        </row>
        <row r="143">
          <cell r="A143" t="str">
            <v>02010100100312</v>
          </cell>
          <cell r="B143" t="str">
            <v>02-01-01-001-003-12</v>
          </cell>
          <cell r="C143" t="str">
            <v>02</v>
          </cell>
          <cell r="D143" t="str">
            <v>01</v>
          </cell>
          <cell r="E143" t="str">
            <v>01</v>
          </cell>
          <cell r="F143" t="str">
            <v>001</v>
          </cell>
          <cell r="G143" t="str">
            <v>003</v>
          </cell>
          <cell r="H143" t="str">
            <v>12</v>
          </cell>
          <cell r="K143" t="str">
            <v>AANF-Otras estructuras obras para la comunicación de larga distancia y las líneas eléctricas (cables)</v>
          </cell>
        </row>
        <row r="144">
          <cell r="A144" t="str">
            <v>02010100100313</v>
          </cell>
          <cell r="B144" t="str">
            <v>02-01-01-001-003-13</v>
          </cell>
          <cell r="C144" t="str">
            <v>02</v>
          </cell>
          <cell r="D144" t="str">
            <v>01</v>
          </cell>
          <cell r="E144" t="str">
            <v>01</v>
          </cell>
          <cell r="F144" t="str">
            <v>001</v>
          </cell>
          <cell r="G144" t="str">
            <v>003</v>
          </cell>
          <cell r="H144" t="str">
            <v>13</v>
          </cell>
          <cell r="K144" t="str">
            <v>AANF-Otras estructuras gasoductos y oleoductos</v>
          </cell>
        </row>
        <row r="145">
          <cell r="A145" t="str">
            <v>02010100100314</v>
          </cell>
          <cell r="B145" t="str">
            <v>02-01-01-001-003-14</v>
          </cell>
          <cell r="C145" t="str">
            <v>02</v>
          </cell>
          <cell r="D145" t="str">
            <v>01</v>
          </cell>
          <cell r="E145" t="str">
            <v>01</v>
          </cell>
          <cell r="F145" t="str">
            <v>001</v>
          </cell>
          <cell r="G145" t="str">
            <v>003</v>
          </cell>
          <cell r="H145" t="str">
            <v>14</v>
          </cell>
          <cell r="K145" t="str">
            <v>AANF-Otras estructuras cables locales y obras conexas</v>
          </cell>
        </row>
        <row r="146">
          <cell r="A146" t="str">
            <v>02010100100315</v>
          </cell>
          <cell r="B146" t="str">
            <v>02-01-01-001-003-15</v>
          </cell>
          <cell r="C146" t="str">
            <v>02</v>
          </cell>
          <cell r="D146" t="str">
            <v>01</v>
          </cell>
          <cell r="E146" t="str">
            <v>01</v>
          </cell>
          <cell r="F146" t="str">
            <v>001</v>
          </cell>
          <cell r="G146" t="str">
            <v>003</v>
          </cell>
          <cell r="H146" t="str">
            <v>15</v>
          </cell>
          <cell r="K146" t="str">
            <v>AANF-Otras estructuras alcantarillas y plantas de tratamiento de agua</v>
          </cell>
        </row>
        <row r="147">
          <cell r="A147" t="str">
            <v>02010100100316</v>
          </cell>
          <cell r="B147" t="str">
            <v>02-01-01-001-003-16</v>
          </cell>
          <cell r="C147" t="str">
            <v>02</v>
          </cell>
          <cell r="D147" t="str">
            <v>01</v>
          </cell>
          <cell r="E147" t="str">
            <v>01</v>
          </cell>
          <cell r="F147" t="str">
            <v>001</v>
          </cell>
          <cell r="G147" t="str">
            <v>003</v>
          </cell>
          <cell r="H147" t="str">
            <v>16</v>
          </cell>
          <cell r="K147" t="str">
            <v>AANF-Otras estructuras construcciones en minas y plantas industriales</v>
          </cell>
        </row>
        <row r="148">
          <cell r="A148" t="str">
            <v>02010100100317</v>
          </cell>
          <cell r="B148" t="str">
            <v>02-01-01-001-003-17</v>
          </cell>
          <cell r="C148" t="str">
            <v>02</v>
          </cell>
          <cell r="D148" t="str">
            <v>01</v>
          </cell>
          <cell r="E148" t="str">
            <v>01</v>
          </cell>
          <cell r="F148" t="str">
            <v>001</v>
          </cell>
          <cell r="G148" t="str">
            <v>003</v>
          </cell>
          <cell r="H148" t="str">
            <v>17</v>
          </cell>
          <cell r="K148" t="str">
            <v>AANF-Otras estructuras construcciones deportivas al aire libre</v>
          </cell>
        </row>
        <row r="149">
          <cell r="A149" t="str">
            <v>02010100100318</v>
          </cell>
          <cell r="B149" t="str">
            <v>02-01-01-001-003-18</v>
          </cell>
          <cell r="C149" t="str">
            <v>02</v>
          </cell>
          <cell r="D149" t="str">
            <v>01</v>
          </cell>
          <cell r="E149" t="str">
            <v>01</v>
          </cell>
          <cell r="F149" t="str">
            <v>001</v>
          </cell>
          <cell r="G149" t="str">
            <v>003</v>
          </cell>
          <cell r="H149" t="str">
            <v>18</v>
          </cell>
          <cell r="K149" t="str">
            <v>AANF-Otras estructuras otras obras de ingeniería civil</v>
          </cell>
        </row>
        <row r="150">
          <cell r="A150" t="str">
            <v>020101001004</v>
          </cell>
          <cell r="B150" t="str">
            <v>02-01-01-001-004</v>
          </cell>
          <cell r="C150" t="str">
            <v>02</v>
          </cell>
          <cell r="D150" t="str">
            <v>01</v>
          </cell>
          <cell r="E150" t="str">
            <v>01</v>
          </cell>
          <cell r="F150" t="str">
            <v>001</v>
          </cell>
          <cell r="G150" t="str">
            <v>004</v>
          </cell>
          <cell r="K150" t="str">
            <v>AANF-Mejoras de tierras y terrenos</v>
          </cell>
        </row>
        <row r="151">
          <cell r="A151" t="str">
            <v>020101002001</v>
          </cell>
          <cell r="B151" t="str">
            <v>02-01-01-002-001</v>
          </cell>
          <cell r="C151" t="str">
            <v>02</v>
          </cell>
          <cell r="D151" t="str">
            <v>01</v>
          </cell>
          <cell r="E151" t="str">
            <v>01</v>
          </cell>
          <cell r="F151" t="str">
            <v>002</v>
          </cell>
          <cell r="G151" t="str">
            <v>001</v>
          </cell>
          <cell r="K151" t="str">
            <v>AANF-Buques de guerra</v>
          </cell>
        </row>
        <row r="152">
          <cell r="A152" t="str">
            <v>020101002002</v>
          </cell>
          <cell r="B152" t="str">
            <v>02-01-01-002-002</v>
          </cell>
          <cell r="C152" t="str">
            <v>02</v>
          </cell>
          <cell r="D152" t="str">
            <v>01</v>
          </cell>
          <cell r="E152" t="str">
            <v>01</v>
          </cell>
          <cell r="F152" t="str">
            <v>002</v>
          </cell>
          <cell r="G152" t="str">
            <v>002</v>
          </cell>
          <cell r="K152" t="str">
            <v>AANF-Submarinos</v>
          </cell>
        </row>
        <row r="153">
          <cell r="A153" t="str">
            <v>020101002003</v>
          </cell>
          <cell r="B153" t="str">
            <v>02-01-01-002-003</v>
          </cell>
          <cell r="C153" t="str">
            <v>02</v>
          </cell>
          <cell r="D153" t="str">
            <v>01</v>
          </cell>
          <cell r="E153" t="str">
            <v>01</v>
          </cell>
          <cell r="F153" t="str">
            <v>002</v>
          </cell>
          <cell r="G153" t="str">
            <v>003</v>
          </cell>
          <cell r="K153" t="str">
            <v>AANF-Aeronaves militares</v>
          </cell>
        </row>
        <row r="154">
          <cell r="A154" t="str">
            <v>020101002004</v>
          </cell>
          <cell r="B154" t="str">
            <v>02-01-01-002-004</v>
          </cell>
          <cell r="C154" t="str">
            <v>02</v>
          </cell>
          <cell r="D154" t="str">
            <v>01</v>
          </cell>
          <cell r="E154" t="str">
            <v>01</v>
          </cell>
          <cell r="F154" t="str">
            <v>002</v>
          </cell>
          <cell r="G154" t="str">
            <v>004</v>
          </cell>
          <cell r="K154" t="str">
            <v>AANF-Tanques</v>
          </cell>
        </row>
        <row r="155">
          <cell r="A155" t="str">
            <v>020101002005</v>
          </cell>
          <cell r="B155" t="str">
            <v>02-01-01-002-005</v>
          </cell>
          <cell r="C155" t="str">
            <v>02</v>
          </cell>
          <cell r="D155" t="str">
            <v>01</v>
          </cell>
          <cell r="E155" t="str">
            <v>01</v>
          </cell>
          <cell r="F155" t="str">
            <v>002</v>
          </cell>
          <cell r="G155" t="str">
            <v>005</v>
          </cell>
          <cell r="K155" t="str">
            <v>AANF-Dispositivos de transporte</v>
          </cell>
        </row>
        <row r="156">
          <cell r="A156" t="str">
            <v>020101002006</v>
          </cell>
          <cell r="B156" t="str">
            <v>02-01-01-002-006</v>
          </cell>
          <cell r="C156" t="str">
            <v>02</v>
          </cell>
          <cell r="D156" t="str">
            <v>01</v>
          </cell>
          <cell r="E156" t="str">
            <v>01</v>
          </cell>
          <cell r="F156" t="str">
            <v>002</v>
          </cell>
          <cell r="G156" t="str">
            <v>006</v>
          </cell>
          <cell r="K156" t="str">
            <v>AANF-Lanza misiles</v>
          </cell>
        </row>
        <row r="157">
          <cell r="A157" t="str">
            <v>020101002007</v>
          </cell>
          <cell r="B157" t="str">
            <v>02-01-01-002-007</v>
          </cell>
          <cell r="C157" t="str">
            <v>02</v>
          </cell>
          <cell r="D157" t="str">
            <v>01</v>
          </cell>
          <cell r="E157" t="str">
            <v>01</v>
          </cell>
          <cell r="F157" t="str">
            <v>002</v>
          </cell>
          <cell r="G157" t="str">
            <v>007</v>
          </cell>
          <cell r="K157" t="str">
            <v>AANF-Otros sistemas de armamento</v>
          </cell>
        </row>
        <row r="158">
          <cell r="A158" t="str">
            <v>020101003008011</v>
          </cell>
          <cell r="B158" t="str">
            <v>02-01-01-003-008-01-1</v>
          </cell>
          <cell r="C158" t="str">
            <v>02</v>
          </cell>
          <cell r="D158" t="str">
            <v>01</v>
          </cell>
          <cell r="E158" t="str">
            <v>01</v>
          </cell>
          <cell r="F158" t="str">
            <v>003</v>
          </cell>
          <cell r="G158" t="str">
            <v>008</v>
          </cell>
          <cell r="H158" t="str">
            <v>01</v>
          </cell>
          <cell r="I158" t="str">
            <v>1</v>
          </cell>
          <cell r="K158" t="str">
            <v>AANF-Asientos</v>
          </cell>
        </row>
        <row r="159">
          <cell r="A159" t="str">
            <v>020101003008012</v>
          </cell>
          <cell r="B159" t="str">
            <v>02-01-01-003-008-01-2</v>
          </cell>
          <cell r="C159" t="str">
            <v>02</v>
          </cell>
          <cell r="D159" t="str">
            <v>01</v>
          </cell>
          <cell r="E159" t="str">
            <v>01</v>
          </cell>
          <cell r="F159" t="str">
            <v>003</v>
          </cell>
          <cell r="G159" t="str">
            <v>008</v>
          </cell>
          <cell r="H159" t="str">
            <v>01</v>
          </cell>
          <cell r="I159" t="str">
            <v>2</v>
          </cell>
          <cell r="K159" t="str">
            <v>AANF-Muebles, del tipo utilizado en oficinas</v>
          </cell>
        </row>
        <row r="160">
          <cell r="A160" t="str">
            <v>020101003008013</v>
          </cell>
          <cell r="B160" t="str">
            <v>02-01-01-003-008-01-3</v>
          </cell>
          <cell r="C160" t="str">
            <v>02</v>
          </cell>
          <cell r="D160" t="str">
            <v>01</v>
          </cell>
          <cell r="E160" t="str">
            <v>01</v>
          </cell>
          <cell r="F160" t="str">
            <v>003</v>
          </cell>
          <cell r="G160" t="str">
            <v>008</v>
          </cell>
          <cell r="H160" t="str">
            <v>01</v>
          </cell>
          <cell r="I160" t="str">
            <v>3</v>
          </cell>
          <cell r="K160" t="str">
            <v>AANF-Muebles de madera, del tipo utilizado en la cocina</v>
          </cell>
        </row>
        <row r="161">
          <cell r="A161" t="str">
            <v>020101003008014</v>
          </cell>
          <cell r="B161" t="str">
            <v>02-01-01-003-008-01-4</v>
          </cell>
          <cell r="C161" t="str">
            <v>02</v>
          </cell>
          <cell r="D161" t="str">
            <v>01</v>
          </cell>
          <cell r="E161" t="str">
            <v>01</v>
          </cell>
          <cell r="F161" t="str">
            <v>003</v>
          </cell>
          <cell r="G161" t="str">
            <v>008</v>
          </cell>
          <cell r="H161" t="str">
            <v>01</v>
          </cell>
          <cell r="I161" t="str">
            <v>4</v>
          </cell>
          <cell r="K161" t="str">
            <v>AANF-Otros muebles n. C. P.</v>
          </cell>
        </row>
        <row r="162">
          <cell r="A162" t="str">
            <v>020101003008015</v>
          </cell>
          <cell r="B162" t="str">
            <v>02-01-01-003-008-01-5</v>
          </cell>
          <cell r="C162" t="str">
            <v>02</v>
          </cell>
          <cell r="D162" t="str">
            <v>01</v>
          </cell>
          <cell r="E162" t="str">
            <v>01</v>
          </cell>
          <cell r="F162" t="str">
            <v>003</v>
          </cell>
          <cell r="G162" t="str">
            <v>008</v>
          </cell>
          <cell r="H162" t="str">
            <v>01</v>
          </cell>
          <cell r="I162" t="str">
            <v>5</v>
          </cell>
          <cell r="K162" t="str">
            <v>AANF-Somieres, colchones con muelles, rellenos o guarnecidos interiormente con cualquier material, de caucho o plásticos celulares, recubiertos o no</v>
          </cell>
        </row>
        <row r="163">
          <cell r="A163" t="str">
            <v>020101003008016</v>
          </cell>
          <cell r="B163" t="str">
            <v>02-01-01-003-008-01-6</v>
          </cell>
          <cell r="C163" t="str">
            <v>02</v>
          </cell>
          <cell r="D163" t="str">
            <v>01</v>
          </cell>
          <cell r="E163" t="str">
            <v>01</v>
          </cell>
          <cell r="F163" t="str">
            <v>003</v>
          </cell>
          <cell r="G163" t="str">
            <v>008</v>
          </cell>
          <cell r="H163" t="str">
            <v>01</v>
          </cell>
          <cell r="I163" t="str">
            <v>6</v>
          </cell>
          <cell r="K163" t="str">
            <v>AANF-Partes y piezas de muebles</v>
          </cell>
        </row>
        <row r="164">
          <cell r="A164" t="str">
            <v>02010100300803</v>
          </cell>
          <cell r="B164" t="str">
            <v>02-01-01-003-008-03</v>
          </cell>
          <cell r="C164" t="str">
            <v>02</v>
          </cell>
          <cell r="D164" t="str">
            <v>01</v>
          </cell>
          <cell r="E164" t="str">
            <v>01</v>
          </cell>
          <cell r="F164" t="str">
            <v>003</v>
          </cell>
          <cell r="G164" t="str">
            <v>008</v>
          </cell>
          <cell r="H164" t="str">
            <v>03</v>
          </cell>
          <cell r="K164" t="str">
            <v>AANF-Instrumentos musicales</v>
          </cell>
        </row>
        <row r="165">
          <cell r="A165" t="str">
            <v>02010100300804</v>
          </cell>
          <cell r="B165" t="str">
            <v>02-01-01-003-008-04</v>
          </cell>
          <cell r="C165" t="str">
            <v>02</v>
          </cell>
          <cell r="D165" t="str">
            <v>01</v>
          </cell>
          <cell r="E165" t="str">
            <v>01</v>
          </cell>
          <cell r="F165" t="str">
            <v>003</v>
          </cell>
          <cell r="G165" t="str">
            <v>008</v>
          </cell>
          <cell r="H165" t="str">
            <v>04</v>
          </cell>
          <cell r="K165" t="str">
            <v>AANF-Artículos de deporte</v>
          </cell>
        </row>
        <row r="166">
          <cell r="A166" t="str">
            <v>02010100300809</v>
          </cell>
          <cell r="B166" t="str">
            <v>02-01-01-003-008-09</v>
          </cell>
          <cell r="C166" t="str">
            <v>02</v>
          </cell>
          <cell r="D166" t="str">
            <v>01</v>
          </cell>
          <cell r="E166" t="str">
            <v>01</v>
          </cell>
          <cell r="F166" t="str">
            <v>003</v>
          </cell>
          <cell r="G166" t="str">
            <v>008</v>
          </cell>
          <cell r="H166" t="str">
            <v>09</v>
          </cell>
          <cell r="K166" t="str">
            <v>AANF-Antigüedades u otros objetos de arte</v>
          </cell>
        </row>
        <row r="167">
          <cell r="A167" t="str">
            <v>02010100400301</v>
          </cell>
          <cell r="B167" t="str">
            <v>02-01-01-004-003-01</v>
          </cell>
          <cell r="C167" t="str">
            <v>02</v>
          </cell>
          <cell r="D167" t="str">
            <v>01</v>
          </cell>
          <cell r="E167" t="str">
            <v>01</v>
          </cell>
          <cell r="F167" t="str">
            <v>004</v>
          </cell>
          <cell r="G167" t="str">
            <v>003</v>
          </cell>
          <cell r="H167" t="str">
            <v>01</v>
          </cell>
          <cell r="K167" t="str">
            <v>AANF-Motores y turbinas y sus partes</v>
          </cell>
        </row>
        <row r="168">
          <cell r="A168" t="str">
            <v>02010100400302</v>
          </cell>
          <cell r="B168" t="str">
            <v>02-01-01-004-003-02</v>
          </cell>
          <cell r="C168" t="str">
            <v>02</v>
          </cell>
          <cell r="D168" t="str">
            <v>01</v>
          </cell>
          <cell r="E168" t="str">
            <v>01</v>
          </cell>
          <cell r="F168" t="str">
            <v>004</v>
          </cell>
          <cell r="G168" t="str">
            <v>003</v>
          </cell>
          <cell r="H168" t="str">
            <v>02</v>
          </cell>
          <cell r="K168" t="str">
            <v>AANF-Bombas, compresores, motores de fuerza hidráulica y motores de potencia neumática y válvulas y sus partes y piezas</v>
          </cell>
        </row>
        <row r="169">
          <cell r="A169" t="str">
            <v>02010100400303</v>
          </cell>
          <cell r="B169" t="str">
            <v>02-01-01-004-003-03</v>
          </cell>
          <cell r="C169" t="str">
            <v>02</v>
          </cell>
          <cell r="D169" t="str">
            <v>01</v>
          </cell>
          <cell r="E169" t="str">
            <v>01</v>
          </cell>
          <cell r="F169" t="str">
            <v>004</v>
          </cell>
          <cell r="G169" t="str">
            <v>003</v>
          </cell>
          <cell r="H169" t="str">
            <v>03</v>
          </cell>
          <cell r="K169" t="str">
            <v>AANF-Cojinetes, engranajes, ruedas de fricción y elementos de transmisión y sus partes y piezas</v>
          </cell>
        </row>
        <row r="170">
          <cell r="A170" t="str">
            <v>02010100400304</v>
          </cell>
          <cell r="B170" t="str">
            <v>02-01-01-004-003-04</v>
          </cell>
          <cell r="C170" t="str">
            <v>02</v>
          </cell>
          <cell r="D170" t="str">
            <v>01</v>
          </cell>
          <cell r="E170" t="str">
            <v>01</v>
          </cell>
          <cell r="F170" t="str">
            <v>004</v>
          </cell>
          <cell r="G170" t="str">
            <v>003</v>
          </cell>
          <cell r="H170" t="str">
            <v>04</v>
          </cell>
          <cell r="K170" t="str">
            <v>AANF-Hornos y quemadores para alimentación de hogares y sus partes y piezas</v>
          </cell>
        </row>
        <row r="171">
          <cell r="A171" t="str">
            <v>02010100400305</v>
          </cell>
          <cell r="B171" t="str">
            <v>02-01-01-004-003-05</v>
          </cell>
          <cell r="C171" t="str">
            <v>02</v>
          </cell>
          <cell r="D171" t="str">
            <v>01</v>
          </cell>
          <cell r="E171" t="str">
            <v>01</v>
          </cell>
          <cell r="F171" t="str">
            <v>004</v>
          </cell>
          <cell r="G171" t="str">
            <v>003</v>
          </cell>
          <cell r="H171" t="str">
            <v>05</v>
          </cell>
          <cell r="K171" t="str">
            <v>AANF-Equipo de elevación y manipulación y sus partes y piezas</v>
          </cell>
        </row>
        <row r="172">
          <cell r="A172" t="str">
            <v>02010100400309</v>
          </cell>
          <cell r="B172" t="str">
            <v>02-01-01-004-003-09</v>
          </cell>
          <cell r="C172" t="str">
            <v>02</v>
          </cell>
          <cell r="D172" t="str">
            <v>01</v>
          </cell>
          <cell r="E172" t="str">
            <v>01</v>
          </cell>
          <cell r="F172" t="str">
            <v>004</v>
          </cell>
          <cell r="G172" t="str">
            <v>003</v>
          </cell>
          <cell r="H172" t="str">
            <v>09</v>
          </cell>
          <cell r="K172" t="str">
            <v>AANF-Otras máquinas para usos generales y sus partes y piezas</v>
          </cell>
        </row>
        <row r="173">
          <cell r="A173" t="str">
            <v>02010100400401</v>
          </cell>
          <cell r="B173" t="str">
            <v>02-01-01-004-004-01</v>
          </cell>
          <cell r="C173" t="str">
            <v>02</v>
          </cell>
          <cell r="D173" t="str">
            <v>01</v>
          </cell>
          <cell r="E173" t="str">
            <v>01</v>
          </cell>
          <cell r="F173" t="str">
            <v>004</v>
          </cell>
          <cell r="G173" t="str">
            <v>004</v>
          </cell>
          <cell r="H173" t="str">
            <v>01</v>
          </cell>
          <cell r="K173" t="str">
            <v>AANF-Maquinaria agropecuaria o silvícola y sus partes y piezas</v>
          </cell>
        </row>
        <row r="174">
          <cell r="A174" t="str">
            <v>02010100400402</v>
          </cell>
          <cell r="B174" t="str">
            <v>02-01-01-004-004-02</v>
          </cell>
          <cell r="C174" t="str">
            <v>02</v>
          </cell>
          <cell r="D174" t="str">
            <v>01</v>
          </cell>
          <cell r="E174" t="str">
            <v>01</v>
          </cell>
          <cell r="F174" t="str">
            <v>004</v>
          </cell>
          <cell r="G174" t="str">
            <v>004</v>
          </cell>
          <cell r="H174" t="str">
            <v>02</v>
          </cell>
          <cell r="K174" t="str">
            <v>AANF-Máquinas herramientas y sus partes, piezas y accesorios</v>
          </cell>
        </row>
        <row r="175">
          <cell r="A175" t="str">
            <v>02010100400403</v>
          </cell>
          <cell r="B175" t="str">
            <v>02-01-01-004-004-03</v>
          </cell>
          <cell r="C175" t="str">
            <v>02</v>
          </cell>
          <cell r="D175" t="str">
            <v>01</v>
          </cell>
          <cell r="E175" t="str">
            <v>01</v>
          </cell>
          <cell r="F175" t="str">
            <v>004</v>
          </cell>
          <cell r="G175" t="str">
            <v>004</v>
          </cell>
          <cell r="H175" t="str">
            <v>03</v>
          </cell>
          <cell r="K175" t="str">
            <v>AANF-Maquinaria para la industria metalúrgica y sus partes y piezas</v>
          </cell>
        </row>
        <row r="176">
          <cell r="A176" t="str">
            <v>02010100400404</v>
          </cell>
          <cell r="B176" t="str">
            <v>02-01-01-004-004-04</v>
          </cell>
          <cell r="C176" t="str">
            <v>02</v>
          </cell>
          <cell r="D176" t="str">
            <v>01</v>
          </cell>
          <cell r="E176" t="str">
            <v>01</v>
          </cell>
          <cell r="F176" t="str">
            <v>004</v>
          </cell>
          <cell r="G176" t="str">
            <v>004</v>
          </cell>
          <cell r="H176" t="str">
            <v>04</v>
          </cell>
          <cell r="K176" t="str">
            <v>AANF-Maquinaria para la minería, la explotación de canteras y la construcción y sus partes y piezas</v>
          </cell>
        </row>
        <row r="177">
          <cell r="A177" t="str">
            <v>02010100400405</v>
          </cell>
          <cell r="B177" t="str">
            <v>02-01-01-004-004-05</v>
          </cell>
          <cell r="C177" t="str">
            <v>02</v>
          </cell>
          <cell r="D177" t="str">
            <v>01</v>
          </cell>
          <cell r="E177" t="str">
            <v>01</v>
          </cell>
          <cell r="F177" t="str">
            <v>004</v>
          </cell>
          <cell r="G177" t="str">
            <v>004</v>
          </cell>
          <cell r="H177" t="str">
            <v>05</v>
          </cell>
          <cell r="K177" t="str">
            <v>AANF-Maquinaria para la elaboración de alimentos, bebidas y tabaco, y sus partes y piezas</v>
          </cell>
        </row>
        <row r="178">
          <cell r="A178" t="str">
            <v>02010100400406</v>
          </cell>
          <cell r="B178" t="str">
            <v>02-01-01-004-004-06</v>
          </cell>
          <cell r="C178" t="str">
            <v>02</v>
          </cell>
          <cell r="D178" t="str">
            <v>01</v>
          </cell>
          <cell r="E178" t="str">
            <v>01</v>
          </cell>
          <cell r="F178" t="str">
            <v>004</v>
          </cell>
          <cell r="G178" t="str">
            <v>004</v>
          </cell>
          <cell r="H178" t="str">
            <v>06</v>
          </cell>
          <cell r="K178" t="str">
            <v>AANF-Maquinaria para la fabricación de textiles, prendas de vestir y artículos de cuero, y sus partes y piezas</v>
          </cell>
        </row>
        <row r="179">
          <cell r="A179" t="str">
            <v>02010100400408</v>
          </cell>
          <cell r="B179" t="str">
            <v>02-01-01-004-004-08</v>
          </cell>
          <cell r="C179" t="str">
            <v>02</v>
          </cell>
          <cell r="D179" t="str">
            <v>01</v>
          </cell>
          <cell r="E179" t="str">
            <v>01</v>
          </cell>
          <cell r="F179" t="str">
            <v>004</v>
          </cell>
          <cell r="G179" t="str">
            <v>004</v>
          </cell>
          <cell r="H179" t="str">
            <v>08</v>
          </cell>
          <cell r="K179" t="str">
            <v>AANF-Aparatos de uso doméstico y sus partes y piezas</v>
          </cell>
        </row>
        <row r="180">
          <cell r="A180" t="str">
            <v>02010100400409</v>
          </cell>
          <cell r="B180" t="str">
            <v>02-01-01-004-004-09</v>
          </cell>
          <cell r="C180" t="str">
            <v>02</v>
          </cell>
          <cell r="D180" t="str">
            <v>01</v>
          </cell>
          <cell r="E180" t="str">
            <v>01</v>
          </cell>
          <cell r="F180" t="str">
            <v>004</v>
          </cell>
          <cell r="G180" t="str">
            <v>004</v>
          </cell>
          <cell r="H180" t="str">
            <v>09</v>
          </cell>
          <cell r="K180" t="str">
            <v>AANF-Otra maquinaria para usos especiales y sus partes y piezas</v>
          </cell>
        </row>
        <row r="181">
          <cell r="A181" t="str">
            <v>02010100400501</v>
          </cell>
          <cell r="B181" t="str">
            <v>02-01-01-004-005-01</v>
          </cell>
          <cell r="C181" t="str">
            <v>02</v>
          </cell>
          <cell r="D181" t="str">
            <v>01</v>
          </cell>
          <cell r="E181" t="str">
            <v>01</v>
          </cell>
          <cell r="F181" t="str">
            <v>004</v>
          </cell>
          <cell r="G181" t="str">
            <v>005</v>
          </cell>
          <cell r="H181" t="str">
            <v>01</v>
          </cell>
          <cell r="K181" t="str">
            <v>AANF-Máquinas para oficina y contabilidad, y sus partes y accesorios</v>
          </cell>
        </row>
        <row r="182">
          <cell r="A182" t="str">
            <v>02010100400502</v>
          </cell>
          <cell r="B182" t="str">
            <v>02-01-01-004-005-02</v>
          </cell>
          <cell r="C182" t="str">
            <v>02</v>
          </cell>
          <cell r="D182" t="str">
            <v>01</v>
          </cell>
          <cell r="E182" t="str">
            <v>01</v>
          </cell>
          <cell r="F182" t="str">
            <v>004</v>
          </cell>
          <cell r="G182" t="str">
            <v>005</v>
          </cell>
          <cell r="H182" t="str">
            <v>02</v>
          </cell>
          <cell r="K182" t="str">
            <v>AANF-Maquinaria de informática y sus partes, piezas y accesorios</v>
          </cell>
        </row>
        <row r="183">
          <cell r="A183" t="str">
            <v>02010100400601</v>
          </cell>
          <cell r="B183" t="str">
            <v>02-01-01-004-006-01</v>
          </cell>
          <cell r="C183" t="str">
            <v>02</v>
          </cell>
          <cell r="D183" t="str">
            <v>01</v>
          </cell>
          <cell r="E183" t="str">
            <v>01</v>
          </cell>
          <cell r="F183" t="str">
            <v>004</v>
          </cell>
          <cell r="G183" t="str">
            <v>006</v>
          </cell>
          <cell r="H183" t="str">
            <v>01</v>
          </cell>
          <cell r="K183" t="str">
            <v>AANF-Motores, generadores y transformadores eléctricos y sus partes y piezas</v>
          </cell>
        </row>
        <row r="184">
          <cell r="A184" t="str">
            <v>02010100400602</v>
          </cell>
          <cell r="B184" t="str">
            <v>02-01-01-004-006-02</v>
          </cell>
          <cell r="C184" t="str">
            <v>02</v>
          </cell>
          <cell r="D184" t="str">
            <v>01</v>
          </cell>
          <cell r="E184" t="str">
            <v>01</v>
          </cell>
          <cell r="F184" t="str">
            <v>004</v>
          </cell>
          <cell r="G184" t="str">
            <v>006</v>
          </cell>
          <cell r="H184" t="str">
            <v>02</v>
          </cell>
          <cell r="K184" t="str">
            <v>AANF-Aparatos de control eléctrico y distribución de electricidad y sus partes y piezas</v>
          </cell>
        </row>
        <row r="185">
          <cell r="A185" t="str">
            <v>02010100400603</v>
          </cell>
          <cell r="B185" t="str">
            <v>02-01-01-004-006-03</v>
          </cell>
          <cell r="C185" t="str">
            <v>02</v>
          </cell>
          <cell r="D185" t="str">
            <v>01</v>
          </cell>
          <cell r="E185" t="str">
            <v>01</v>
          </cell>
          <cell r="F185" t="str">
            <v>004</v>
          </cell>
          <cell r="G185" t="str">
            <v>006</v>
          </cell>
          <cell r="H185" t="str">
            <v>03</v>
          </cell>
          <cell r="K185" t="str">
            <v>AANF-Hilos y cables aislados; cable de fibra óptica</v>
          </cell>
        </row>
        <row r="186">
          <cell r="A186" t="str">
            <v>02010100400604</v>
          </cell>
          <cell r="B186" t="str">
            <v>02-01-01-004-006-04</v>
          </cell>
          <cell r="C186" t="str">
            <v>02</v>
          </cell>
          <cell r="D186" t="str">
            <v>01</v>
          </cell>
          <cell r="E186" t="str">
            <v>01</v>
          </cell>
          <cell r="F186" t="str">
            <v>004</v>
          </cell>
          <cell r="G186" t="str">
            <v>006</v>
          </cell>
          <cell r="H186" t="str">
            <v>04</v>
          </cell>
          <cell r="K186" t="str">
            <v>AANF-Acumuladores, pilas y baterías primarias y sus partes y piezas</v>
          </cell>
        </row>
        <row r="187">
          <cell r="A187" t="str">
            <v>02010100400605</v>
          </cell>
          <cell r="B187" t="str">
            <v>02-01-01-004-006-05</v>
          </cell>
          <cell r="C187" t="str">
            <v>02</v>
          </cell>
          <cell r="D187" t="str">
            <v>01</v>
          </cell>
          <cell r="E187" t="str">
            <v>01</v>
          </cell>
          <cell r="F187" t="str">
            <v>004</v>
          </cell>
          <cell r="G187" t="str">
            <v>006</v>
          </cell>
          <cell r="H187" t="str">
            <v>05</v>
          </cell>
          <cell r="K187" t="str">
            <v>AANF-Lámparas eléctricas de incandescencia o descarga; lámparas de arco, equipo para alumbrado eléctrico; sus partes y piezas</v>
          </cell>
        </row>
        <row r="188">
          <cell r="A188" t="str">
            <v>02010100400609</v>
          </cell>
          <cell r="B188" t="str">
            <v>02-01-01-004-006-09</v>
          </cell>
          <cell r="C188" t="str">
            <v>02</v>
          </cell>
          <cell r="D188" t="str">
            <v>01</v>
          </cell>
          <cell r="E188" t="str">
            <v>01</v>
          </cell>
          <cell r="F188" t="str">
            <v>004</v>
          </cell>
          <cell r="G188" t="str">
            <v>006</v>
          </cell>
          <cell r="H188" t="str">
            <v>09</v>
          </cell>
          <cell r="K188" t="str">
            <v>AANF-Otro equipo eléctrico y sus partes y piezas</v>
          </cell>
        </row>
        <row r="189">
          <cell r="A189" t="str">
            <v>02010100400701</v>
          </cell>
          <cell r="B189" t="str">
            <v>02-01-01-004-007-01</v>
          </cell>
          <cell r="C189" t="str">
            <v>02</v>
          </cell>
          <cell r="D189" t="str">
            <v>01</v>
          </cell>
          <cell r="E189" t="str">
            <v>01</v>
          </cell>
          <cell r="F189" t="str">
            <v>004</v>
          </cell>
          <cell r="G189" t="str">
            <v>007</v>
          </cell>
          <cell r="H189" t="str">
            <v>01</v>
          </cell>
          <cell r="K189" t="str">
            <v>AANF-Válvulas y tubos electrónicos; componentes electrónicos; sus partes y piezas</v>
          </cell>
        </row>
        <row r="190">
          <cell r="A190" t="str">
            <v>02010100400702</v>
          </cell>
          <cell r="B190" t="str">
            <v>02-01-01-004-007-02</v>
          </cell>
          <cell r="C190" t="str">
            <v>02</v>
          </cell>
          <cell r="D190" t="str">
            <v>01</v>
          </cell>
          <cell r="E190" t="str">
            <v>01</v>
          </cell>
          <cell r="F190" t="str">
            <v>004</v>
          </cell>
          <cell r="G190" t="str">
            <v>007</v>
          </cell>
          <cell r="H190" t="str">
            <v>02</v>
          </cell>
          <cell r="K190" t="str">
            <v>AANF-Aparatos transmisores de televisión y radio; televisión, video y cámaras digitales; teléfonos</v>
          </cell>
        </row>
        <row r="191">
          <cell r="A191" t="str">
            <v>02010100400703</v>
          </cell>
          <cell r="B191" t="str">
            <v>02-01-01-004-007-03</v>
          </cell>
          <cell r="C191" t="str">
            <v>02</v>
          </cell>
          <cell r="D191" t="str">
            <v>01</v>
          </cell>
          <cell r="E191" t="str">
            <v>01</v>
          </cell>
          <cell r="F191" t="str">
            <v>004</v>
          </cell>
          <cell r="G191" t="str">
            <v>007</v>
          </cell>
          <cell r="H191" t="str">
            <v>03</v>
          </cell>
          <cell r="K191" t="str">
            <v>AANF-Radiorreceptores y receptores de televisión; aparatos para la grabación y reproducción de sonido y video; micrófonos, altavoces, amplificadores, etc.</v>
          </cell>
        </row>
        <row r="192">
          <cell r="A192" t="str">
            <v>02010100400704</v>
          </cell>
          <cell r="B192" t="str">
            <v>02-01-01-004-007-04</v>
          </cell>
          <cell r="C192" t="str">
            <v>02</v>
          </cell>
          <cell r="D192" t="str">
            <v>01</v>
          </cell>
          <cell r="E192" t="str">
            <v>01</v>
          </cell>
          <cell r="F192" t="str">
            <v>004</v>
          </cell>
          <cell r="G192" t="str">
            <v>007</v>
          </cell>
          <cell r="H192" t="str">
            <v>04</v>
          </cell>
          <cell r="K192" t="str">
            <v>AANF-Partes y piezas de los productos de las clases 4721 a 4733 y 4822</v>
          </cell>
        </row>
        <row r="193">
          <cell r="A193" t="str">
            <v>02010100400705</v>
          </cell>
          <cell r="B193" t="str">
            <v>02-01-01-004-007-05</v>
          </cell>
          <cell r="C193" t="str">
            <v>02</v>
          </cell>
          <cell r="D193" t="str">
            <v>01</v>
          </cell>
          <cell r="E193" t="str">
            <v>01</v>
          </cell>
          <cell r="F193" t="str">
            <v>004</v>
          </cell>
          <cell r="G193" t="str">
            <v>007</v>
          </cell>
          <cell r="H193" t="str">
            <v>05</v>
          </cell>
          <cell r="K193" t="str">
            <v>AANF-Discos, cintas, dispositivos de almacenamiento en estado sólido no volátiles y otros medios, no grabados</v>
          </cell>
        </row>
        <row r="194">
          <cell r="A194" t="str">
            <v>02010100400706</v>
          </cell>
          <cell r="B194" t="str">
            <v>02-01-01-004-007-06</v>
          </cell>
          <cell r="C194" t="str">
            <v>02</v>
          </cell>
          <cell r="D194" t="str">
            <v>01</v>
          </cell>
          <cell r="E194" t="str">
            <v>01</v>
          </cell>
          <cell r="F194" t="str">
            <v>004</v>
          </cell>
          <cell r="G194" t="str">
            <v>007</v>
          </cell>
          <cell r="H194" t="str">
            <v>06</v>
          </cell>
          <cell r="K194" t="str">
            <v>AANF-Grabaciones de audio, video y otros discos, cintas y otros medios físicos</v>
          </cell>
        </row>
        <row r="195">
          <cell r="A195" t="str">
            <v>02010100400709</v>
          </cell>
          <cell r="B195" t="str">
            <v>02-01-01-004-007-09</v>
          </cell>
          <cell r="C195" t="str">
            <v>02</v>
          </cell>
          <cell r="D195" t="str">
            <v>01</v>
          </cell>
          <cell r="E195" t="str">
            <v>01</v>
          </cell>
          <cell r="F195" t="str">
            <v>004</v>
          </cell>
          <cell r="G195" t="str">
            <v>007</v>
          </cell>
          <cell r="H195" t="str">
            <v>09</v>
          </cell>
          <cell r="K195" t="str">
            <v>AANF-Tarjetas con bandas magnéticas o plaquetas (chip)</v>
          </cell>
        </row>
        <row r="196">
          <cell r="A196" t="str">
            <v>02010100400801</v>
          </cell>
          <cell r="B196" t="str">
            <v>02-01-01-004-008-01</v>
          </cell>
          <cell r="C196" t="str">
            <v>02</v>
          </cell>
          <cell r="D196" t="str">
            <v>01</v>
          </cell>
          <cell r="E196" t="str">
            <v>01</v>
          </cell>
          <cell r="F196" t="str">
            <v>004</v>
          </cell>
          <cell r="G196" t="str">
            <v>008</v>
          </cell>
          <cell r="H196" t="str">
            <v>01</v>
          </cell>
          <cell r="K196" t="str">
            <v>AANF-Aparatos médicos y quirúrgicos y aparatos ortésicos y protésicos</v>
          </cell>
        </row>
        <row r="197">
          <cell r="A197" t="str">
            <v>02010100400802</v>
          </cell>
          <cell r="B197" t="str">
            <v>02-01-01-004-008-02</v>
          </cell>
          <cell r="C197" t="str">
            <v>02</v>
          </cell>
          <cell r="D197" t="str">
            <v>01</v>
          </cell>
          <cell r="E197" t="str">
            <v>01</v>
          </cell>
          <cell r="F197" t="str">
            <v>004</v>
          </cell>
          <cell r="G197" t="str">
            <v>008</v>
          </cell>
          <cell r="H197" t="str">
            <v>02</v>
          </cell>
          <cell r="K197" t="str">
            <v>AANF-Instrumentos y aparatos de medición, verificación, análisis, de navegación y para otros fines (excepto instrumentos ópticos); instrumentos de control de procesos industriales, sus partes, piezas y accesorios</v>
          </cell>
        </row>
        <row r="198">
          <cell r="A198" t="str">
            <v>02010100400803</v>
          </cell>
          <cell r="B198" t="str">
            <v>02-01-01-004-008-03</v>
          </cell>
          <cell r="C198" t="str">
            <v>02</v>
          </cell>
          <cell r="D198" t="str">
            <v>01</v>
          </cell>
          <cell r="E198" t="str">
            <v>01</v>
          </cell>
          <cell r="F198" t="str">
            <v>004</v>
          </cell>
          <cell r="G198" t="str">
            <v>008</v>
          </cell>
          <cell r="H198" t="str">
            <v>03</v>
          </cell>
          <cell r="K198" t="str">
            <v>AANF-Instrumentos ópticos y equipo fotográfico; partes, piezas y accesorios</v>
          </cell>
        </row>
        <row r="199">
          <cell r="A199" t="str">
            <v>02010100400804</v>
          </cell>
          <cell r="B199" t="str">
            <v>02-01-01-004-008-04</v>
          </cell>
          <cell r="C199" t="str">
            <v>02</v>
          </cell>
          <cell r="D199" t="str">
            <v>01</v>
          </cell>
          <cell r="E199" t="str">
            <v>01</v>
          </cell>
          <cell r="F199" t="str">
            <v>004</v>
          </cell>
          <cell r="G199" t="str">
            <v>008</v>
          </cell>
          <cell r="H199" t="str">
            <v>04</v>
          </cell>
          <cell r="K199" t="str">
            <v>AANF-Relojes y sus partes y piezas</v>
          </cell>
        </row>
        <row r="200">
          <cell r="A200" t="str">
            <v>02010100400901</v>
          </cell>
          <cell r="B200" t="str">
            <v>02-01-01-004-009-01</v>
          </cell>
          <cell r="C200" t="str">
            <v>02</v>
          </cell>
          <cell r="D200" t="str">
            <v>01</v>
          </cell>
          <cell r="E200" t="str">
            <v>01</v>
          </cell>
          <cell r="F200" t="str">
            <v>004</v>
          </cell>
          <cell r="G200" t="str">
            <v>009</v>
          </cell>
          <cell r="H200" t="str">
            <v>01</v>
          </cell>
          <cell r="K200" t="str">
            <v>AANF-Vehículos automotores, remolques y semirremolques; y sus partes, piezas y accesorios</v>
          </cell>
        </row>
        <row r="201">
          <cell r="A201" t="str">
            <v>02010100400902</v>
          </cell>
          <cell r="B201" t="str">
            <v>02-01-01-004-009-02</v>
          </cell>
          <cell r="C201" t="str">
            <v>02</v>
          </cell>
          <cell r="D201" t="str">
            <v>01</v>
          </cell>
          <cell r="E201" t="str">
            <v>01</v>
          </cell>
          <cell r="F201" t="str">
            <v>004</v>
          </cell>
          <cell r="G201" t="str">
            <v>009</v>
          </cell>
          <cell r="H201" t="str">
            <v>02</v>
          </cell>
          <cell r="K201" t="str">
            <v>AANF-Carrocerías (incluso cabinas) para vehículos automotores; remolques y semirremolques; y sus partes, piezas y accesorios</v>
          </cell>
        </row>
        <row r="202">
          <cell r="A202" t="str">
            <v>02010100400903</v>
          </cell>
          <cell r="B202" t="str">
            <v>02-01-01-004-009-03</v>
          </cell>
          <cell r="C202" t="str">
            <v>02</v>
          </cell>
          <cell r="D202" t="str">
            <v>01</v>
          </cell>
          <cell r="E202" t="str">
            <v>01</v>
          </cell>
          <cell r="F202" t="str">
            <v>004</v>
          </cell>
          <cell r="G202" t="str">
            <v>009</v>
          </cell>
          <cell r="H202" t="str">
            <v>03</v>
          </cell>
          <cell r="K202" t="str">
            <v>AANF-Buques</v>
          </cell>
        </row>
        <row r="203">
          <cell r="A203" t="str">
            <v>02010100400904</v>
          </cell>
          <cell r="B203" t="str">
            <v>02-01-01-004-009-04</v>
          </cell>
          <cell r="C203" t="str">
            <v>02</v>
          </cell>
          <cell r="D203" t="str">
            <v>01</v>
          </cell>
          <cell r="E203" t="str">
            <v>01</v>
          </cell>
          <cell r="F203" t="str">
            <v>004</v>
          </cell>
          <cell r="G203" t="str">
            <v>009</v>
          </cell>
          <cell r="H203" t="str">
            <v>04</v>
          </cell>
          <cell r="K203" t="str">
            <v>AANF-Embarcaciones para deportes y recreo</v>
          </cell>
        </row>
        <row r="204">
          <cell r="A204" t="str">
            <v>02010100400905</v>
          </cell>
          <cell r="B204" t="str">
            <v>02-01-01-004-009-05</v>
          </cell>
          <cell r="C204" t="str">
            <v>02</v>
          </cell>
          <cell r="D204" t="str">
            <v>01</v>
          </cell>
          <cell r="E204" t="str">
            <v>01</v>
          </cell>
          <cell r="F204" t="str">
            <v>004</v>
          </cell>
          <cell r="G204" t="str">
            <v>009</v>
          </cell>
          <cell r="H204" t="str">
            <v>05</v>
          </cell>
          <cell r="K204" t="str">
            <v>AANF-Locomotoras y material rodante de ferrocarril y tranvía, y sus partes y piezas</v>
          </cell>
        </row>
        <row r="205">
          <cell r="A205" t="str">
            <v>02010100400906</v>
          </cell>
          <cell r="B205" t="str">
            <v>02-01-01-004-009-06</v>
          </cell>
          <cell r="C205" t="str">
            <v>02</v>
          </cell>
          <cell r="D205" t="str">
            <v>01</v>
          </cell>
          <cell r="E205" t="str">
            <v>01</v>
          </cell>
          <cell r="F205" t="str">
            <v>004</v>
          </cell>
          <cell r="G205" t="str">
            <v>009</v>
          </cell>
          <cell r="H205" t="str">
            <v>06</v>
          </cell>
          <cell r="K205" t="str">
            <v>AANF-Aeronaves y naves espaciales, y sus partes y piezas</v>
          </cell>
        </row>
        <row r="206">
          <cell r="A206" t="str">
            <v>020101004009091</v>
          </cell>
          <cell r="B206" t="str">
            <v>02-01-01-004-009-09-1</v>
          </cell>
          <cell r="C206" t="str">
            <v>02</v>
          </cell>
          <cell r="D206" t="str">
            <v>01</v>
          </cell>
          <cell r="E206" t="str">
            <v>01</v>
          </cell>
          <cell r="F206" t="str">
            <v>004</v>
          </cell>
          <cell r="G206" t="str">
            <v>009</v>
          </cell>
          <cell r="H206" t="str">
            <v>09</v>
          </cell>
          <cell r="I206" t="str">
            <v>1</v>
          </cell>
          <cell r="K206" t="str">
            <v>AANF-Motocicletas y sidecares (vehículos laterales a las motocicletas)</v>
          </cell>
        </row>
        <row r="207">
          <cell r="A207" t="str">
            <v>020101004009092</v>
          </cell>
          <cell r="B207" t="str">
            <v>02-01-01-004-009-09-2</v>
          </cell>
          <cell r="C207" t="str">
            <v>02</v>
          </cell>
          <cell r="D207" t="str">
            <v>01</v>
          </cell>
          <cell r="E207" t="str">
            <v>01</v>
          </cell>
          <cell r="F207" t="str">
            <v>004</v>
          </cell>
          <cell r="G207" t="str">
            <v>009</v>
          </cell>
          <cell r="H207" t="str">
            <v>09</v>
          </cell>
          <cell r="I207" t="str">
            <v>2</v>
          </cell>
          <cell r="K207" t="str">
            <v>AANF-Bicicletas y sillones de ruedas para discapacitados</v>
          </cell>
        </row>
        <row r="208">
          <cell r="A208" t="str">
            <v>020101004009093</v>
          </cell>
          <cell r="B208" t="str">
            <v>02-01-01-004-009-09-3</v>
          </cell>
          <cell r="C208" t="str">
            <v>02</v>
          </cell>
          <cell r="D208" t="str">
            <v>01</v>
          </cell>
          <cell r="E208" t="str">
            <v>01</v>
          </cell>
          <cell r="F208" t="str">
            <v>004</v>
          </cell>
          <cell r="G208" t="str">
            <v>009</v>
          </cell>
          <cell r="H208" t="str">
            <v>09</v>
          </cell>
          <cell r="I208" t="str">
            <v>3</v>
          </cell>
          <cell r="K208" t="str">
            <v>AANF-Vehículos n. C. P. Sin propulsión mecánica</v>
          </cell>
        </row>
        <row r="209">
          <cell r="A209" t="str">
            <v>020101004009094</v>
          </cell>
          <cell r="B209" t="str">
            <v>02-01-01-004-009-09-4</v>
          </cell>
          <cell r="C209" t="str">
            <v>02</v>
          </cell>
          <cell r="D209" t="str">
            <v>01</v>
          </cell>
          <cell r="E209" t="str">
            <v>01</v>
          </cell>
          <cell r="F209" t="str">
            <v>004</v>
          </cell>
          <cell r="G209" t="str">
            <v>009</v>
          </cell>
          <cell r="H209" t="str">
            <v>09</v>
          </cell>
          <cell r="I209" t="str">
            <v>4</v>
          </cell>
          <cell r="K209" t="str">
            <v>AANF-Partes y piezas para los productos de las clases 4991 y 4992</v>
          </cell>
        </row>
        <row r="210">
          <cell r="A210" t="str">
            <v>02010100401001</v>
          </cell>
          <cell r="B210" t="str">
            <v>02-01-01-004-010-01</v>
          </cell>
          <cell r="C210" t="str">
            <v>02</v>
          </cell>
          <cell r="D210" t="str">
            <v>01</v>
          </cell>
          <cell r="E210" t="str">
            <v>01</v>
          </cell>
          <cell r="F210" t="str">
            <v>004</v>
          </cell>
          <cell r="G210" t="str">
            <v>010</v>
          </cell>
          <cell r="H210" t="str">
            <v>01</v>
          </cell>
          <cell r="K210" t="str">
            <v>AANF-Armas</v>
          </cell>
        </row>
        <row r="211">
          <cell r="A211" t="str">
            <v>02010100401002</v>
          </cell>
          <cell r="B211" t="str">
            <v>02-01-01-004-010-02</v>
          </cell>
          <cell r="C211" t="str">
            <v>02</v>
          </cell>
          <cell r="D211" t="str">
            <v>01</v>
          </cell>
          <cell r="E211" t="str">
            <v>01</v>
          </cell>
          <cell r="F211" t="str">
            <v>004</v>
          </cell>
          <cell r="G211" t="str">
            <v>010</v>
          </cell>
          <cell r="H211" t="str">
            <v>02</v>
          </cell>
          <cell r="K211" t="str">
            <v>AANF-Equipo de alojamiento y campaña</v>
          </cell>
        </row>
        <row r="212">
          <cell r="A212" t="str">
            <v>02010100401003</v>
          </cell>
          <cell r="B212" t="str">
            <v>02-01-01-004-010-03</v>
          </cell>
          <cell r="C212" t="str">
            <v>02</v>
          </cell>
          <cell r="D212" t="str">
            <v>01</v>
          </cell>
          <cell r="E212" t="str">
            <v>01</v>
          </cell>
          <cell r="F212" t="str">
            <v>004</v>
          </cell>
          <cell r="G212" t="str">
            <v>010</v>
          </cell>
          <cell r="H212" t="str">
            <v>03</v>
          </cell>
          <cell r="K212" t="str">
            <v>AANF-Equipo de inteligencia</v>
          </cell>
        </row>
        <row r="213">
          <cell r="A213" t="str">
            <v>02010100401004</v>
          </cell>
          <cell r="B213" t="str">
            <v>02-01-01-004-010-04</v>
          </cell>
          <cell r="C213" t="str">
            <v>02</v>
          </cell>
          <cell r="D213" t="str">
            <v>01</v>
          </cell>
          <cell r="E213" t="str">
            <v>01</v>
          </cell>
          <cell r="F213" t="str">
            <v>004</v>
          </cell>
          <cell r="G213" t="str">
            <v>010</v>
          </cell>
          <cell r="H213" t="str">
            <v>04</v>
          </cell>
          <cell r="K213" t="str">
            <v>AANF-Equipo militar y de seguridad</v>
          </cell>
        </row>
        <row r="214">
          <cell r="A214" t="str">
            <v>02010100401005</v>
          </cell>
          <cell r="B214" t="str">
            <v>02-01-01-004-010-05</v>
          </cell>
          <cell r="C214" t="str">
            <v>02</v>
          </cell>
          <cell r="D214" t="str">
            <v>01</v>
          </cell>
          <cell r="E214" t="str">
            <v>01</v>
          </cell>
          <cell r="F214" t="str">
            <v>004</v>
          </cell>
          <cell r="G214" t="str">
            <v>010</v>
          </cell>
          <cell r="H214" t="str">
            <v>05</v>
          </cell>
          <cell r="K214" t="str">
            <v>AANF-Equipo policía judicial</v>
          </cell>
        </row>
        <row r="215">
          <cell r="A215" t="str">
            <v>02010100401006</v>
          </cell>
          <cell r="B215" t="str">
            <v>02-01-01-004-010-06</v>
          </cell>
          <cell r="C215" t="str">
            <v>02</v>
          </cell>
          <cell r="D215" t="str">
            <v>01</v>
          </cell>
          <cell r="E215" t="str">
            <v>01</v>
          </cell>
          <cell r="F215" t="str">
            <v>004</v>
          </cell>
          <cell r="G215" t="str">
            <v>010</v>
          </cell>
          <cell r="H215" t="str">
            <v>06</v>
          </cell>
          <cell r="K215" t="str">
            <v>AANF-Equipo antimotines</v>
          </cell>
        </row>
        <row r="216">
          <cell r="A216" t="str">
            <v>02010100401007</v>
          </cell>
          <cell r="B216" t="str">
            <v>02-01-01-004-010-07</v>
          </cell>
          <cell r="C216" t="str">
            <v>02</v>
          </cell>
          <cell r="D216" t="str">
            <v>01</v>
          </cell>
          <cell r="E216" t="str">
            <v>01</v>
          </cell>
          <cell r="F216" t="str">
            <v>004</v>
          </cell>
          <cell r="G216" t="str">
            <v>010</v>
          </cell>
          <cell r="H216" t="str">
            <v>07</v>
          </cell>
          <cell r="K216" t="str">
            <v>AANF-Otros equipos</v>
          </cell>
        </row>
        <row r="217">
          <cell r="A217" t="str">
            <v>020101006001011</v>
          </cell>
          <cell r="B217" t="str">
            <v>02-01-01-006-001-01-1</v>
          </cell>
          <cell r="C217" t="str">
            <v>02</v>
          </cell>
          <cell r="D217" t="str">
            <v>01</v>
          </cell>
          <cell r="E217" t="str">
            <v>01</v>
          </cell>
          <cell r="F217" t="str">
            <v>006</v>
          </cell>
          <cell r="G217" t="str">
            <v>001</v>
          </cell>
          <cell r="H217" t="str">
            <v>01</v>
          </cell>
          <cell r="I217" t="str">
            <v>1</v>
          </cell>
          <cell r="K217" t="str">
            <v>AANF-Animales de cría</v>
          </cell>
        </row>
        <row r="218">
          <cell r="A218" t="str">
            <v>020101006001012</v>
          </cell>
          <cell r="B218" t="str">
            <v>02-01-01-006-001-01-2</v>
          </cell>
          <cell r="C218" t="str">
            <v>02</v>
          </cell>
          <cell r="D218" t="str">
            <v>01</v>
          </cell>
          <cell r="E218" t="str">
            <v>01</v>
          </cell>
          <cell r="F218" t="str">
            <v>006</v>
          </cell>
          <cell r="G218" t="str">
            <v>001</v>
          </cell>
          <cell r="H218" t="str">
            <v>01</v>
          </cell>
          <cell r="I218" t="str">
            <v>2</v>
          </cell>
          <cell r="K218" t="str">
            <v>AANF-Ganado lechero</v>
          </cell>
        </row>
        <row r="219">
          <cell r="A219" t="str">
            <v>020101006001013</v>
          </cell>
          <cell r="B219" t="str">
            <v>02-01-01-006-001-01-3</v>
          </cell>
          <cell r="C219" t="str">
            <v>02</v>
          </cell>
          <cell r="D219" t="str">
            <v>01</v>
          </cell>
          <cell r="E219" t="str">
            <v>01</v>
          </cell>
          <cell r="F219" t="str">
            <v>006</v>
          </cell>
          <cell r="G219" t="str">
            <v>001</v>
          </cell>
          <cell r="H219" t="str">
            <v>01</v>
          </cell>
          <cell r="I219" t="str">
            <v>3</v>
          </cell>
          <cell r="K219" t="str">
            <v>AANF-Animales de tiro</v>
          </cell>
        </row>
        <row r="220">
          <cell r="A220" t="str">
            <v>020101006001014</v>
          </cell>
          <cell r="B220" t="str">
            <v>02-01-01-006-001-01-4</v>
          </cell>
          <cell r="C220" t="str">
            <v>02</v>
          </cell>
          <cell r="D220" t="str">
            <v>01</v>
          </cell>
          <cell r="E220" t="str">
            <v>01</v>
          </cell>
          <cell r="F220" t="str">
            <v>006</v>
          </cell>
          <cell r="G220" t="str">
            <v>001</v>
          </cell>
          <cell r="H220" t="str">
            <v>01</v>
          </cell>
          <cell r="I220" t="str">
            <v>4</v>
          </cell>
          <cell r="K220" t="str">
            <v>AANF-Animales utilizados para la producción de lana</v>
          </cell>
        </row>
        <row r="221">
          <cell r="A221" t="str">
            <v>020101006001015</v>
          </cell>
          <cell r="B221" t="str">
            <v>02-01-01-006-001-01-5</v>
          </cell>
          <cell r="C221" t="str">
            <v>02</v>
          </cell>
          <cell r="D221" t="str">
            <v>01</v>
          </cell>
          <cell r="E221" t="str">
            <v>01</v>
          </cell>
          <cell r="F221" t="str">
            <v>006</v>
          </cell>
          <cell r="G221" t="str">
            <v>001</v>
          </cell>
          <cell r="H221" t="str">
            <v>01</v>
          </cell>
          <cell r="I221" t="str">
            <v>5</v>
          </cell>
          <cell r="K221" t="str">
            <v>AANF-Animales empleados para el transporte</v>
          </cell>
        </row>
        <row r="222">
          <cell r="A222" t="str">
            <v>020101006001016</v>
          </cell>
          <cell r="B222" t="str">
            <v>02-01-01-006-001-01-6</v>
          </cell>
          <cell r="C222" t="str">
            <v>02</v>
          </cell>
          <cell r="D222" t="str">
            <v>01</v>
          </cell>
          <cell r="E222" t="str">
            <v>01</v>
          </cell>
          <cell r="F222" t="str">
            <v>006</v>
          </cell>
          <cell r="G222" t="str">
            <v>001</v>
          </cell>
          <cell r="H222" t="str">
            <v>01</v>
          </cell>
          <cell r="I222" t="str">
            <v>6</v>
          </cell>
          <cell r="K222" t="str">
            <v>AANF-Animales empleados para las carretas</v>
          </cell>
        </row>
        <row r="223">
          <cell r="A223" t="str">
            <v>020101006001017</v>
          </cell>
          <cell r="B223" t="str">
            <v>02-01-01-006-001-01-7</v>
          </cell>
          <cell r="C223" t="str">
            <v>02</v>
          </cell>
          <cell r="D223" t="str">
            <v>01</v>
          </cell>
          <cell r="E223" t="str">
            <v>01</v>
          </cell>
          <cell r="F223" t="str">
            <v>006</v>
          </cell>
          <cell r="G223" t="str">
            <v>001</v>
          </cell>
          <cell r="H223" t="str">
            <v>01</v>
          </cell>
          <cell r="I223" t="str">
            <v>7</v>
          </cell>
          <cell r="K223" t="str">
            <v>AANF-Animales empleados para el esparcimiento</v>
          </cell>
        </row>
        <row r="224">
          <cell r="A224" t="str">
            <v>020101006001018</v>
          </cell>
          <cell r="B224" t="str">
            <v>02-01-01-006-001-01-8</v>
          </cell>
          <cell r="C224" t="str">
            <v>02</v>
          </cell>
          <cell r="D224" t="str">
            <v>01</v>
          </cell>
          <cell r="E224" t="str">
            <v>01</v>
          </cell>
          <cell r="F224" t="str">
            <v>006</v>
          </cell>
          <cell r="G224" t="str">
            <v>001</v>
          </cell>
          <cell r="H224" t="str">
            <v>01</v>
          </cell>
          <cell r="I224" t="str">
            <v>8</v>
          </cell>
          <cell r="K224" t="str">
            <v>AANF-Otros animales que generan productos en forma repetida</v>
          </cell>
        </row>
        <row r="225">
          <cell r="A225" t="str">
            <v>020101006001021</v>
          </cell>
          <cell r="B225" t="str">
            <v>02-01-01-006-001-02-1</v>
          </cell>
          <cell r="C225" t="str">
            <v>02</v>
          </cell>
          <cell r="D225" t="str">
            <v>01</v>
          </cell>
          <cell r="E225" t="str">
            <v>01</v>
          </cell>
          <cell r="F225" t="str">
            <v>006</v>
          </cell>
          <cell r="G225" t="str">
            <v>001</v>
          </cell>
          <cell r="H225" t="str">
            <v>02</v>
          </cell>
          <cell r="I225" t="str">
            <v>1</v>
          </cell>
          <cell r="K225" t="str">
            <v>AANF-Árboles frutales</v>
          </cell>
        </row>
        <row r="226">
          <cell r="A226" t="str">
            <v>020101006001022</v>
          </cell>
          <cell r="B226" t="str">
            <v>02-01-01-006-001-02-2</v>
          </cell>
          <cell r="C226" t="str">
            <v>02</v>
          </cell>
          <cell r="D226" t="str">
            <v>01</v>
          </cell>
          <cell r="E226" t="str">
            <v>01</v>
          </cell>
          <cell r="F226" t="str">
            <v>006</v>
          </cell>
          <cell r="G226" t="str">
            <v>001</v>
          </cell>
          <cell r="H226" t="str">
            <v>02</v>
          </cell>
          <cell r="I226" t="str">
            <v>2</v>
          </cell>
          <cell r="K226" t="str">
            <v>AANF-Árboles cultivados por sus nueces</v>
          </cell>
        </row>
        <row r="227">
          <cell r="A227" t="str">
            <v>020101006001023</v>
          </cell>
          <cell r="B227" t="str">
            <v>02-01-01-006-001-02-3</v>
          </cell>
          <cell r="C227" t="str">
            <v>02</v>
          </cell>
          <cell r="D227" t="str">
            <v>01</v>
          </cell>
          <cell r="E227" t="str">
            <v>01</v>
          </cell>
          <cell r="F227" t="str">
            <v>006</v>
          </cell>
          <cell r="G227" t="str">
            <v>001</v>
          </cell>
          <cell r="H227" t="str">
            <v>02</v>
          </cell>
          <cell r="I227" t="str">
            <v>3</v>
          </cell>
          <cell r="K227" t="str">
            <v>AANF-Árboles cultivados por su savia</v>
          </cell>
        </row>
        <row r="228">
          <cell r="A228" t="str">
            <v>020101006001024</v>
          </cell>
          <cell r="B228" t="str">
            <v>02-01-01-006-001-02-4</v>
          </cell>
          <cell r="C228" t="str">
            <v>02</v>
          </cell>
          <cell r="D228" t="str">
            <v>01</v>
          </cell>
          <cell r="E228" t="str">
            <v>01</v>
          </cell>
          <cell r="F228" t="str">
            <v>006</v>
          </cell>
          <cell r="G228" t="str">
            <v>001</v>
          </cell>
          <cell r="H228" t="str">
            <v>02</v>
          </cell>
          <cell r="I228" t="str">
            <v>4</v>
          </cell>
          <cell r="K228" t="str">
            <v>AANF-Árboles cultivados por su resina</v>
          </cell>
        </row>
        <row r="229">
          <cell r="A229" t="str">
            <v>020101006001025</v>
          </cell>
          <cell r="B229" t="str">
            <v>02-01-01-006-001-02-5</v>
          </cell>
          <cell r="C229" t="str">
            <v>02</v>
          </cell>
          <cell r="D229" t="str">
            <v>01</v>
          </cell>
          <cell r="E229" t="str">
            <v>01</v>
          </cell>
          <cell r="F229" t="str">
            <v>006</v>
          </cell>
          <cell r="G229" t="str">
            <v>001</v>
          </cell>
          <cell r="H229" t="str">
            <v>02</v>
          </cell>
          <cell r="I229" t="str">
            <v>5</v>
          </cell>
          <cell r="K229" t="str">
            <v>AANF-Árboles cultivados por su corteza u hojas</v>
          </cell>
        </row>
        <row r="230">
          <cell r="A230" t="str">
            <v>020101006001026</v>
          </cell>
          <cell r="B230" t="str">
            <v>02-01-01-006-001-02-6</v>
          </cell>
          <cell r="C230" t="str">
            <v>02</v>
          </cell>
          <cell r="D230" t="str">
            <v>01</v>
          </cell>
          <cell r="E230" t="str">
            <v>01</v>
          </cell>
          <cell r="F230" t="str">
            <v>006</v>
          </cell>
          <cell r="G230" t="str">
            <v>001</v>
          </cell>
          <cell r="H230" t="str">
            <v>02</v>
          </cell>
          <cell r="I230" t="str">
            <v>6</v>
          </cell>
          <cell r="K230" t="str">
            <v>AANF-Otros árboles, cultivos y plantas que generan productos en forma repetida</v>
          </cell>
        </row>
        <row r="231">
          <cell r="A231" t="str">
            <v>02010100600201</v>
          </cell>
          <cell r="B231" t="str">
            <v>02-01-01-006-002-01</v>
          </cell>
          <cell r="C231" t="str">
            <v>02</v>
          </cell>
          <cell r="D231" t="str">
            <v>01</v>
          </cell>
          <cell r="E231" t="str">
            <v>01</v>
          </cell>
          <cell r="F231" t="str">
            <v>006</v>
          </cell>
          <cell r="G231" t="str">
            <v>002</v>
          </cell>
          <cell r="H231" t="str">
            <v>01</v>
          </cell>
          <cell r="K231" t="str">
            <v>AANF-Investigación y desarrollo</v>
          </cell>
        </row>
        <row r="232">
          <cell r="A232" t="str">
            <v>020101006002021</v>
          </cell>
          <cell r="B232" t="str">
            <v>02-01-01-006-002-02-1</v>
          </cell>
          <cell r="C232" t="str">
            <v>02</v>
          </cell>
          <cell r="D232" t="str">
            <v>01</v>
          </cell>
          <cell r="E232" t="str">
            <v>01</v>
          </cell>
          <cell r="F232" t="str">
            <v>006</v>
          </cell>
          <cell r="G232" t="str">
            <v>002</v>
          </cell>
          <cell r="H232" t="str">
            <v>02</v>
          </cell>
          <cell r="I232" t="str">
            <v>1</v>
          </cell>
          <cell r="K232" t="str">
            <v>AANF-Costos de las perforaciones de prueba y sondeo realizadas</v>
          </cell>
        </row>
        <row r="233">
          <cell r="A233" t="str">
            <v>020101006002022</v>
          </cell>
          <cell r="B233" t="str">
            <v>02-01-01-006-002-02-2</v>
          </cell>
          <cell r="C233" t="str">
            <v>02</v>
          </cell>
          <cell r="D233" t="str">
            <v>01</v>
          </cell>
          <cell r="E233" t="str">
            <v>01</v>
          </cell>
          <cell r="F233" t="str">
            <v>006</v>
          </cell>
          <cell r="G233" t="str">
            <v>002</v>
          </cell>
          <cell r="H233" t="str">
            <v>02</v>
          </cell>
          <cell r="I233" t="str">
            <v>2</v>
          </cell>
          <cell r="K233" t="str">
            <v>AANF-Costos de precalificación</v>
          </cell>
        </row>
        <row r="234">
          <cell r="A234" t="str">
            <v>020101006002023</v>
          </cell>
          <cell r="B234" t="str">
            <v>02-01-01-006-002-02-3</v>
          </cell>
          <cell r="C234" t="str">
            <v>02</v>
          </cell>
          <cell r="D234" t="str">
            <v>01</v>
          </cell>
          <cell r="E234" t="str">
            <v>01</v>
          </cell>
          <cell r="F234" t="str">
            <v>006</v>
          </cell>
          <cell r="G234" t="str">
            <v>002</v>
          </cell>
          <cell r="H234" t="str">
            <v>02</v>
          </cell>
          <cell r="I234" t="str">
            <v>3</v>
          </cell>
          <cell r="K234" t="str">
            <v>AANF-Obtención de licencias, adquisición y avalúos</v>
          </cell>
        </row>
        <row r="235">
          <cell r="A235" t="str">
            <v>020101006002024</v>
          </cell>
          <cell r="B235" t="str">
            <v>02-01-01-006-002-02-4</v>
          </cell>
          <cell r="C235" t="str">
            <v>02</v>
          </cell>
          <cell r="D235" t="str">
            <v>01</v>
          </cell>
          <cell r="E235" t="str">
            <v>01</v>
          </cell>
          <cell r="F235" t="str">
            <v>006</v>
          </cell>
          <cell r="G235" t="str">
            <v>002</v>
          </cell>
          <cell r="H235" t="str">
            <v>02</v>
          </cell>
          <cell r="I235" t="str">
            <v>4</v>
          </cell>
          <cell r="K235" t="str">
            <v>AANF-Costos de transporte</v>
          </cell>
        </row>
        <row r="236">
          <cell r="A236" t="str">
            <v>020101006002025</v>
          </cell>
          <cell r="B236" t="str">
            <v>02-01-01-006-002-02-5</v>
          </cell>
          <cell r="C236" t="str">
            <v>02</v>
          </cell>
          <cell r="D236" t="str">
            <v>01</v>
          </cell>
          <cell r="E236" t="str">
            <v>01</v>
          </cell>
          <cell r="F236" t="str">
            <v>006</v>
          </cell>
          <cell r="G236" t="str">
            <v>002</v>
          </cell>
          <cell r="H236" t="str">
            <v>02</v>
          </cell>
          <cell r="I236" t="str">
            <v>5</v>
          </cell>
          <cell r="K236" t="str">
            <v>AANF-Otros costos de evaluación y explotación minera</v>
          </cell>
        </row>
        <row r="237">
          <cell r="A237" t="str">
            <v>02010100600203101</v>
          </cell>
          <cell r="B237" t="str">
            <v>02-01-01-006-002-03-1-01</v>
          </cell>
          <cell r="C237" t="str">
            <v>02</v>
          </cell>
          <cell r="D237" t="str">
            <v>01</v>
          </cell>
          <cell r="E237" t="str">
            <v>01</v>
          </cell>
          <cell r="F237" t="str">
            <v>006</v>
          </cell>
          <cell r="G237" t="str">
            <v>002</v>
          </cell>
          <cell r="H237" t="str">
            <v>03</v>
          </cell>
          <cell r="I237" t="str">
            <v>1</v>
          </cell>
          <cell r="J237" t="str">
            <v>01</v>
          </cell>
          <cell r="K237" t="str">
            <v>AANF-Paquetes de software</v>
          </cell>
        </row>
        <row r="238">
          <cell r="A238" t="str">
            <v>02010100600203102</v>
          </cell>
          <cell r="B238" t="str">
            <v>02-01-01-006-002-03-1-02</v>
          </cell>
          <cell r="C238" t="str">
            <v>02</v>
          </cell>
          <cell r="D238" t="str">
            <v>01</v>
          </cell>
          <cell r="E238" t="str">
            <v>01</v>
          </cell>
          <cell r="F238" t="str">
            <v>006</v>
          </cell>
          <cell r="G238" t="str">
            <v>002</v>
          </cell>
          <cell r="H238" t="str">
            <v>03</v>
          </cell>
          <cell r="I238" t="str">
            <v>1</v>
          </cell>
          <cell r="J238" t="str">
            <v>02</v>
          </cell>
          <cell r="K238" t="str">
            <v>AANF-Gastos de desarrollo</v>
          </cell>
        </row>
        <row r="239">
          <cell r="A239" t="str">
            <v>02010100600203202</v>
          </cell>
          <cell r="B239" t="str">
            <v>02-01-01-006-002-03-2-02</v>
          </cell>
          <cell r="C239" t="str">
            <v>02</v>
          </cell>
          <cell r="D239" t="str">
            <v>01</v>
          </cell>
          <cell r="E239" t="str">
            <v>01</v>
          </cell>
          <cell r="F239" t="str">
            <v>006</v>
          </cell>
          <cell r="G239" t="str">
            <v>002</v>
          </cell>
          <cell r="H239" t="str">
            <v>03</v>
          </cell>
          <cell r="I239" t="str">
            <v>2</v>
          </cell>
          <cell r="J239" t="str">
            <v>02</v>
          </cell>
          <cell r="K239" t="str">
            <v>AANF-Gastos de desarrollo</v>
          </cell>
        </row>
        <row r="240">
          <cell r="A240" t="str">
            <v>020101006002032</v>
          </cell>
          <cell r="B240" t="str">
            <v>02-01-01-006-002-03-2</v>
          </cell>
          <cell r="C240" t="str">
            <v>02</v>
          </cell>
          <cell r="D240" t="str">
            <v>01</v>
          </cell>
          <cell r="E240" t="str">
            <v>01</v>
          </cell>
          <cell r="F240" t="str">
            <v>006</v>
          </cell>
          <cell r="G240" t="str">
            <v>002</v>
          </cell>
          <cell r="H240" t="str">
            <v>03</v>
          </cell>
          <cell r="I240" t="str">
            <v>2</v>
          </cell>
          <cell r="K240" t="str">
            <v>AANF-Bases de datos</v>
          </cell>
        </row>
        <row r="241">
          <cell r="A241" t="str">
            <v>02010100600204</v>
          </cell>
          <cell r="B241" t="str">
            <v>02-01-01-006-002-04</v>
          </cell>
          <cell r="C241" t="str">
            <v>02</v>
          </cell>
          <cell r="D241" t="str">
            <v>01</v>
          </cell>
          <cell r="E241" t="str">
            <v>01</v>
          </cell>
          <cell r="F241" t="str">
            <v>006</v>
          </cell>
          <cell r="G241" t="str">
            <v>002</v>
          </cell>
          <cell r="H241" t="str">
            <v>04</v>
          </cell>
          <cell r="K241" t="str">
            <v>AANF-Originales de entretenimiento, literatura y arte</v>
          </cell>
        </row>
        <row r="242">
          <cell r="A242" t="str">
            <v>02010100600205</v>
          </cell>
          <cell r="B242" t="str">
            <v>02-01-01-006-002-05</v>
          </cell>
          <cell r="C242" t="str">
            <v>02</v>
          </cell>
          <cell r="D242" t="str">
            <v>01</v>
          </cell>
          <cell r="E242" t="str">
            <v>01</v>
          </cell>
          <cell r="F242" t="str">
            <v>006</v>
          </cell>
          <cell r="G242" t="str">
            <v>002</v>
          </cell>
          <cell r="H242" t="str">
            <v>05</v>
          </cell>
          <cell r="K242" t="str">
            <v>AANF-Otros productos de propiedad intelectual</v>
          </cell>
        </row>
        <row r="243">
          <cell r="A243" t="str">
            <v>02010200300802</v>
          </cell>
          <cell r="B243" t="str">
            <v>02-01-02-003-008-02</v>
          </cell>
          <cell r="C243" t="str">
            <v>02</v>
          </cell>
          <cell r="D243" t="str">
            <v>01</v>
          </cell>
          <cell r="E243" t="str">
            <v>02</v>
          </cell>
          <cell r="F243" t="str">
            <v>003</v>
          </cell>
          <cell r="G243" t="str">
            <v>008</v>
          </cell>
          <cell r="H243" t="str">
            <v>02</v>
          </cell>
          <cell r="K243" t="str">
            <v>AANF-Objetos de valor - Joyas y artículos conexos</v>
          </cell>
        </row>
        <row r="244">
          <cell r="A244" t="str">
            <v>02010200300809</v>
          </cell>
          <cell r="B244" t="str">
            <v>02-01-02-003-008-09</v>
          </cell>
          <cell r="C244" t="str">
            <v>02</v>
          </cell>
          <cell r="D244" t="str">
            <v>01</v>
          </cell>
          <cell r="E244" t="str">
            <v>02</v>
          </cell>
          <cell r="F244" t="str">
            <v>003</v>
          </cell>
          <cell r="G244" t="str">
            <v>008</v>
          </cell>
          <cell r="H244" t="str">
            <v>09</v>
          </cell>
          <cell r="K244" t="str">
            <v>AANF-Objetos de valor - Antigüedades u otros objetos de arte</v>
          </cell>
        </row>
        <row r="245">
          <cell r="A245" t="str">
            <v>020103001</v>
          </cell>
          <cell r="B245" t="str">
            <v>02-01-03-001</v>
          </cell>
          <cell r="C245" t="str">
            <v>02</v>
          </cell>
          <cell r="D245" t="str">
            <v>01</v>
          </cell>
          <cell r="E245" t="str">
            <v>03</v>
          </cell>
          <cell r="F245" t="str">
            <v>001</v>
          </cell>
          <cell r="K245" t="str">
            <v>AANF-Activos no producidos - Tierras y terrenos</v>
          </cell>
        </row>
        <row r="246">
          <cell r="A246" t="str">
            <v>020103002</v>
          </cell>
          <cell r="B246" t="str">
            <v>02-01-03-002</v>
          </cell>
          <cell r="C246" t="str">
            <v>02</v>
          </cell>
          <cell r="D246" t="str">
            <v>01</v>
          </cell>
          <cell r="E246" t="str">
            <v>03</v>
          </cell>
          <cell r="F246" t="str">
            <v>002</v>
          </cell>
          <cell r="K246" t="str">
            <v>AANF-Activos no producidos - Recursos biológicos no cultivados</v>
          </cell>
        </row>
        <row r="247">
          <cell r="A247" t="str">
            <v>020104</v>
          </cell>
          <cell r="B247" t="str">
            <v>02-01-04</v>
          </cell>
          <cell r="C247" t="str">
            <v>02</v>
          </cell>
          <cell r="D247" t="str">
            <v>01</v>
          </cell>
          <cell r="E247" t="str">
            <v>04</v>
          </cell>
          <cell r="K247" t="str">
            <v>AANF-Gastos Reservados</v>
          </cell>
        </row>
        <row r="248">
          <cell r="A248" t="str">
            <v>02020100000101</v>
          </cell>
          <cell r="B248" t="str">
            <v>02-02-01-000-001-01</v>
          </cell>
          <cell r="C248" t="str">
            <v>02</v>
          </cell>
          <cell r="D248" t="str">
            <v>02</v>
          </cell>
          <cell r="E248" t="str">
            <v>01</v>
          </cell>
          <cell r="F248" t="str">
            <v>000</v>
          </cell>
          <cell r="G248" t="str">
            <v>001</v>
          </cell>
          <cell r="H248" t="str">
            <v>01</v>
          </cell>
          <cell r="K248" t="str">
            <v>ADA-Cereales</v>
          </cell>
        </row>
        <row r="249">
          <cell r="A249" t="str">
            <v>02020100000102</v>
          </cell>
          <cell r="B249" t="str">
            <v>02-02-01-000-001-02</v>
          </cell>
          <cell r="C249" t="str">
            <v>02</v>
          </cell>
          <cell r="D249" t="str">
            <v>02</v>
          </cell>
          <cell r="E249" t="str">
            <v>01</v>
          </cell>
          <cell r="F249" t="str">
            <v>000</v>
          </cell>
          <cell r="G249" t="str">
            <v>001</v>
          </cell>
          <cell r="H249" t="str">
            <v>02</v>
          </cell>
          <cell r="K249" t="str">
            <v>ADA-Hortalizas</v>
          </cell>
        </row>
        <row r="250">
          <cell r="A250" t="str">
            <v>02020100000103</v>
          </cell>
          <cell r="B250" t="str">
            <v>02-02-01-000-001-03</v>
          </cell>
          <cell r="C250" t="str">
            <v>02</v>
          </cell>
          <cell r="D250" t="str">
            <v>02</v>
          </cell>
          <cell r="E250" t="str">
            <v>01</v>
          </cell>
          <cell r="F250" t="str">
            <v>000</v>
          </cell>
          <cell r="G250" t="str">
            <v>001</v>
          </cell>
          <cell r="H250" t="str">
            <v>03</v>
          </cell>
          <cell r="K250" t="str">
            <v>ADA-Frutas y nueces</v>
          </cell>
        </row>
        <row r="251">
          <cell r="A251" t="str">
            <v>02020100000104</v>
          </cell>
          <cell r="B251" t="str">
            <v>02-02-01-000-001-04</v>
          </cell>
          <cell r="C251" t="str">
            <v>02</v>
          </cell>
          <cell r="D251" t="str">
            <v>02</v>
          </cell>
          <cell r="E251" t="str">
            <v>01</v>
          </cell>
          <cell r="F251" t="str">
            <v>000</v>
          </cell>
          <cell r="G251" t="str">
            <v>001</v>
          </cell>
          <cell r="H251" t="str">
            <v>04</v>
          </cell>
          <cell r="K251" t="str">
            <v>ADA-Semillas y frutos oleaginosos</v>
          </cell>
        </row>
        <row r="252">
          <cell r="A252" t="str">
            <v>02020100000105</v>
          </cell>
          <cell r="B252" t="str">
            <v>02-02-01-000-001-05</v>
          </cell>
          <cell r="C252" t="str">
            <v>02</v>
          </cell>
          <cell r="D252" t="str">
            <v>02</v>
          </cell>
          <cell r="E252" t="str">
            <v>01</v>
          </cell>
          <cell r="F252" t="str">
            <v>000</v>
          </cell>
          <cell r="G252" t="str">
            <v>001</v>
          </cell>
          <cell r="H252" t="str">
            <v>05</v>
          </cell>
          <cell r="K252" t="str">
            <v>ADA-Raíces y tubérculos comestibles ricos en almidón o inulina</v>
          </cell>
        </row>
        <row r="253">
          <cell r="A253" t="str">
            <v>02020100000106</v>
          </cell>
          <cell r="B253" t="str">
            <v>02-02-01-000-001-06</v>
          </cell>
          <cell r="C253" t="str">
            <v>02</v>
          </cell>
          <cell r="D253" t="str">
            <v>02</v>
          </cell>
          <cell r="E253" t="str">
            <v>01</v>
          </cell>
          <cell r="F253" t="str">
            <v>000</v>
          </cell>
          <cell r="G253" t="str">
            <v>001</v>
          </cell>
          <cell r="H253" t="str">
            <v>06</v>
          </cell>
          <cell r="K253" t="str">
            <v>ADA-Plantas aromáticas, bebestibles y especias</v>
          </cell>
        </row>
        <row r="254">
          <cell r="A254" t="str">
            <v>02020100000107</v>
          </cell>
          <cell r="B254" t="str">
            <v>02-02-01-000-001-07</v>
          </cell>
          <cell r="C254" t="str">
            <v>02</v>
          </cell>
          <cell r="D254" t="str">
            <v>02</v>
          </cell>
          <cell r="E254" t="str">
            <v>01</v>
          </cell>
          <cell r="F254" t="str">
            <v>000</v>
          </cell>
          <cell r="G254" t="str">
            <v>001</v>
          </cell>
          <cell r="H254" t="str">
            <v>07</v>
          </cell>
          <cell r="K254" t="str">
            <v>ADA-Legumbres, secas</v>
          </cell>
        </row>
        <row r="255">
          <cell r="A255" t="str">
            <v>02020100000108</v>
          </cell>
          <cell r="B255" t="str">
            <v>02-02-01-000-001-08</v>
          </cell>
          <cell r="C255" t="str">
            <v>02</v>
          </cell>
          <cell r="D255" t="str">
            <v>02</v>
          </cell>
          <cell r="E255" t="str">
            <v>01</v>
          </cell>
          <cell r="F255" t="str">
            <v>000</v>
          </cell>
          <cell r="G255" t="str">
            <v>001</v>
          </cell>
          <cell r="H255" t="str">
            <v>08</v>
          </cell>
          <cell r="K255" t="str">
            <v>ADA-Plantas utilizadas en la fabricación de azúcar</v>
          </cell>
        </row>
        <row r="256">
          <cell r="A256" t="str">
            <v>02020100000109</v>
          </cell>
          <cell r="B256" t="str">
            <v>02-02-01-000-001-09</v>
          </cell>
          <cell r="C256" t="str">
            <v>02</v>
          </cell>
          <cell r="D256" t="str">
            <v>02</v>
          </cell>
          <cell r="E256" t="str">
            <v>01</v>
          </cell>
          <cell r="F256" t="str">
            <v>000</v>
          </cell>
          <cell r="G256" t="str">
            <v>001</v>
          </cell>
          <cell r="H256" t="str">
            <v>09</v>
          </cell>
          <cell r="K256" t="str">
            <v>ADA-Productos de forraje, fibras, plantas vivas, flores y capullos de flores, tabaco en rama y caucho natural</v>
          </cell>
        </row>
        <row r="257">
          <cell r="A257" t="str">
            <v>020201000002011</v>
          </cell>
          <cell r="B257" t="str">
            <v>02-02-01-000-002-01-1</v>
          </cell>
          <cell r="C257" t="str">
            <v>02</v>
          </cell>
          <cell r="D257" t="str">
            <v>02</v>
          </cell>
          <cell r="E257" t="str">
            <v>01</v>
          </cell>
          <cell r="F257" t="str">
            <v>000</v>
          </cell>
          <cell r="G257" t="str">
            <v>002</v>
          </cell>
          <cell r="H257" t="str">
            <v>01</v>
          </cell>
          <cell r="I257" t="str">
            <v>1</v>
          </cell>
          <cell r="K257" t="str">
            <v>ADA-Bovinos vivos</v>
          </cell>
        </row>
        <row r="258">
          <cell r="A258" t="str">
            <v>020201000002012</v>
          </cell>
          <cell r="B258" t="str">
            <v>02-02-01-000-002-01-2</v>
          </cell>
          <cell r="C258" t="str">
            <v>02</v>
          </cell>
          <cell r="D258" t="str">
            <v>02</v>
          </cell>
          <cell r="E258" t="str">
            <v>01</v>
          </cell>
          <cell r="F258" t="str">
            <v>000</v>
          </cell>
          <cell r="G258" t="str">
            <v>002</v>
          </cell>
          <cell r="H258" t="str">
            <v>01</v>
          </cell>
          <cell r="I258" t="str">
            <v>2</v>
          </cell>
          <cell r="K258" t="str">
            <v>ADA-Otros rumiantes</v>
          </cell>
        </row>
        <row r="259">
          <cell r="A259" t="str">
            <v>020201000002013</v>
          </cell>
          <cell r="B259" t="str">
            <v>02-02-01-000-002-01-3</v>
          </cell>
          <cell r="C259" t="str">
            <v>02</v>
          </cell>
          <cell r="D259" t="str">
            <v>02</v>
          </cell>
          <cell r="E259" t="str">
            <v>01</v>
          </cell>
          <cell r="F259" t="str">
            <v>000</v>
          </cell>
          <cell r="G259" t="str">
            <v>002</v>
          </cell>
          <cell r="H259" t="str">
            <v>01</v>
          </cell>
          <cell r="I259" t="str">
            <v>3</v>
          </cell>
          <cell r="K259" t="str">
            <v>ADA-Caballos y otros équidos</v>
          </cell>
        </row>
        <row r="260">
          <cell r="A260" t="str">
            <v>020201000002014</v>
          </cell>
          <cell r="B260" t="str">
            <v>02-02-01-000-002-01-4</v>
          </cell>
          <cell r="C260" t="str">
            <v>02</v>
          </cell>
          <cell r="D260" t="str">
            <v>02</v>
          </cell>
          <cell r="E260" t="str">
            <v>01</v>
          </cell>
          <cell r="F260" t="str">
            <v>000</v>
          </cell>
          <cell r="G260" t="str">
            <v>002</v>
          </cell>
          <cell r="H260" t="str">
            <v>01</v>
          </cell>
          <cell r="I260" t="str">
            <v>4</v>
          </cell>
          <cell r="K260" t="str">
            <v>ADA-Ganado porcino</v>
          </cell>
        </row>
        <row r="261">
          <cell r="A261" t="str">
            <v>020201000002015</v>
          </cell>
          <cell r="B261" t="str">
            <v>02-02-01-000-002-01-5</v>
          </cell>
          <cell r="C261" t="str">
            <v>02</v>
          </cell>
          <cell r="D261" t="str">
            <v>02</v>
          </cell>
          <cell r="E261" t="str">
            <v>01</v>
          </cell>
          <cell r="F261" t="str">
            <v>000</v>
          </cell>
          <cell r="G261" t="str">
            <v>002</v>
          </cell>
          <cell r="H261" t="str">
            <v>01</v>
          </cell>
          <cell r="I261" t="str">
            <v>5</v>
          </cell>
          <cell r="K261" t="str">
            <v>ADA-Aves de corral</v>
          </cell>
        </row>
        <row r="262">
          <cell r="A262" t="str">
            <v>020201000002019</v>
          </cell>
          <cell r="B262" t="str">
            <v>02-02-01-000-002-01-9</v>
          </cell>
          <cell r="C262" t="str">
            <v>02</v>
          </cell>
          <cell r="D262" t="str">
            <v>02</v>
          </cell>
          <cell r="E262" t="str">
            <v>01</v>
          </cell>
          <cell r="F262" t="str">
            <v>000</v>
          </cell>
          <cell r="G262" t="str">
            <v>002</v>
          </cell>
          <cell r="H262" t="str">
            <v>01</v>
          </cell>
          <cell r="I262" t="str">
            <v>9</v>
          </cell>
          <cell r="K262" t="str">
            <v>ADA-Otros animales vivos</v>
          </cell>
        </row>
        <row r="263">
          <cell r="A263" t="str">
            <v>02020100000202</v>
          </cell>
          <cell r="B263" t="str">
            <v>02-02-01-000-002-02</v>
          </cell>
          <cell r="C263" t="str">
            <v>02</v>
          </cell>
          <cell r="D263" t="str">
            <v>02</v>
          </cell>
          <cell r="E263" t="str">
            <v>01</v>
          </cell>
          <cell r="F263" t="str">
            <v>000</v>
          </cell>
          <cell r="G263" t="str">
            <v>002</v>
          </cell>
          <cell r="H263" t="str">
            <v>02</v>
          </cell>
          <cell r="K263" t="str">
            <v>ADA-Leche cruda</v>
          </cell>
        </row>
        <row r="264">
          <cell r="A264" t="str">
            <v>02020100000203</v>
          </cell>
          <cell r="B264" t="str">
            <v>02-02-01-000-002-03</v>
          </cell>
          <cell r="C264" t="str">
            <v>02</v>
          </cell>
          <cell r="D264" t="str">
            <v>02</v>
          </cell>
          <cell r="E264" t="str">
            <v>01</v>
          </cell>
          <cell r="F264" t="str">
            <v>000</v>
          </cell>
          <cell r="G264" t="str">
            <v>002</v>
          </cell>
          <cell r="H264" t="str">
            <v>03</v>
          </cell>
          <cell r="K264" t="str">
            <v>ADA-Huevos de gallina o de otras aves, con cáscara, frescos</v>
          </cell>
        </row>
        <row r="265">
          <cell r="A265" t="str">
            <v>02020100000204</v>
          </cell>
          <cell r="B265" t="str">
            <v>02-02-01-000-002-04</v>
          </cell>
          <cell r="C265" t="str">
            <v>02</v>
          </cell>
          <cell r="D265" t="str">
            <v>02</v>
          </cell>
          <cell r="E265" t="str">
            <v>01</v>
          </cell>
          <cell r="F265" t="str">
            <v>000</v>
          </cell>
          <cell r="G265" t="str">
            <v>002</v>
          </cell>
          <cell r="H265" t="str">
            <v>04</v>
          </cell>
          <cell r="K265" t="str">
            <v>ADA-Materiales reproductivos de animales</v>
          </cell>
        </row>
        <row r="266">
          <cell r="A266" t="str">
            <v>02020100000209</v>
          </cell>
          <cell r="B266" t="str">
            <v>02-02-01-000-002-09</v>
          </cell>
          <cell r="C266" t="str">
            <v>02</v>
          </cell>
          <cell r="D266" t="str">
            <v>02</v>
          </cell>
          <cell r="E266" t="str">
            <v>01</v>
          </cell>
          <cell r="F266" t="str">
            <v>000</v>
          </cell>
          <cell r="G266" t="str">
            <v>002</v>
          </cell>
          <cell r="H266" t="str">
            <v>09</v>
          </cell>
          <cell r="K266" t="str">
            <v>ADA-Otros productos animales</v>
          </cell>
        </row>
        <row r="267">
          <cell r="A267" t="str">
            <v>02020100000301</v>
          </cell>
          <cell r="B267" t="str">
            <v>02-02-01-000-003-01</v>
          </cell>
          <cell r="C267" t="str">
            <v>02</v>
          </cell>
          <cell r="D267" t="str">
            <v>02</v>
          </cell>
          <cell r="E267" t="str">
            <v>01</v>
          </cell>
          <cell r="F267" t="str">
            <v>000</v>
          </cell>
          <cell r="G267" t="str">
            <v>003</v>
          </cell>
          <cell r="H267" t="str">
            <v>01</v>
          </cell>
          <cell r="K267" t="str">
            <v>ADA-Madera en bruto</v>
          </cell>
        </row>
        <row r="268">
          <cell r="A268" t="str">
            <v>02020100000302</v>
          </cell>
          <cell r="B268" t="str">
            <v>02-02-01-000-003-02</v>
          </cell>
          <cell r="C268" t="str">
            <v>02</v>
          </cell>
          <cell r="D268" t="str">
            <v>02</v>
          </cell>
          <cell r="E268" t="str">
            <v>01</v>
          </cell>
          <cell r="F268" t="str">
            <v>000</v>
          </cell>
          <cell r="G268" t="str">
            <v>003</v>
          </cell>
          <cell r="H268" t="str">
            <v>02</v>
          </cell>
          <cell r="K268" t="str">
            <v>ADA-Productos forestales diferentes a la madera</v>
          </cell>
        </row>
        <row r="269">
          <cell r="A269" t="str">
            <v>020201000004</v>
          </cell>
          <cell r="B269" t="str">
            <v>02-02-01-000-004</v>
          </cell>
          <cell r="C269" t="str">
            <v>02</v>
          </cell>
          <cell r="D269" t="str">
            <v>02</v>
          </cell>
          <cell r="E269" t="str">
            <v>01</v>
          </cell>
          <cell r="F269" t="str">
            <v>000</v>
          </cell>
          <cell r="G269" t="str">
            <v>004</v>
          </cell>
          <cell r="K269" t="str">
            <v>ADA-Pescado y otros productos de la pesca</v>
          </cell>
        </row>
        <row r="270">
          <cell r="A270" t="str">
            <v>020201001001</v>
          </cell>
          <cell r="B270" t="str">
            <v>02-02-01-001-001</v>
          </cell>
          <cell r="C270" t="str">
            <v>02</v>
          </cell>
          <cell r="D270" t="str">
            <v>02</v>
          </cell>
          <cell r="E270" t="str">
            <v>01</v>
          </cell>
          <cell r="F270" t="str">
            <v>001</v>
          </cell>
          <cell r="G270" t="str">
            <v>001</v>
          </cell>
          <cell r="K270" t="str">
            <v>ADA-Carbón de hulla, lignito y turba</v>
          </cell>
        </row>
        <row r="271">
          <cell r="A271" t="str">
            <v>020201001002</v>
          </cell>
          <cell r="B271" t="str">
            <v>02-02-01-001-002</v>
          </cell>
          <cell r="C271" t="str">
            <v>02</v>
          </cell>
          <cell r="D271" t="str">
            <v>02</v>
          </cell>
          <cell r="E271" t="str">
            <v>01</v>
          </cell>
          <cell r="F271" t="str">
            <v>001</v>
          </cell>
          <cell r="G271" t="str">
            <v>002</v>
          </cell>
          <cell r="K271" t="str">
            <v>ADA-Petróleo crudo y gas natural</v>
          </cell>
        </row>
        <row r="272">
          <cell r="A272" t="str">
            <v>020201001003</v>
          </cell>
          <cell r="B272" t="str">
            <v>02-02-01-001-003</v>
          </cell>
          <cell r="C272" t="str">
            <v>02</v>
          </cell>
          <cell r="D272" t="str">
            <v>02</v>
          </cell>
          <cell r="E272" t="str">
            <v>01</v>
          </cell>
          <cell r="F272" t="str">
            <v>001</v>
          </cell>
          <cell r="G272" t="str">
            <v>003</v>
          </cell>
          <cell r="K272" t="str">
            <v>ADA-Minerales y concentrados de uranio y torio</v>
          </cell>
        </row>
        <row r="273">
          <cell r="A273" t="str">
            <v>020201001004</v>
          </cell>
          <cell r="B273" t="str">
            <v>02-02-01-001-004</v>
          </cell>
          <cell r="C273" t="str">
            <v>02</v>
          </cell>
          <cell r="D273" t="str">
            <v>02</v>
          </cell>
          <cell r="E273" t="str">
            <v>01</v>
          </cell>
          <cell r="F273" t="str">
            <v>001</v>
          </cell>
          <cell r="G273" t="str">
            <v>004</v>
          </cell>
          <cell r="K273" t="str">
            <v>ADA-Minerales metálicos</v>
          </cell>
        </row>
        <row r="274">
          <cell r="A274" t="str">
            <v>020201001005</v>
          </cell>
          <cell r="B274" t="str">
            <v>02-02-01-001-005</v>
          </cell>
          <cell r="C274" t="str">
            <v>02</v>
          </cell>
          <cell r="D274" t="str">
            <v>02</v>
          </cell>
          <cell r="E274" t="str">
            <v>01</v>
          </cell>
          <cell r="F274" t="str">
            <v>001</v>
          </cell>
          <cell r="G274" t="str">
            <v>005</v>
          </cell>
          <cell r="K274" t="str">
            <v>ADA-Piedra, arena y arcilla</v>
          </cell>
        </row>
        <row r="275">
          <cell r="A275" t="str">
            <v>02020100100601</v>
          </cell>
          <cell r="B275" t="str">
            <v>02-02-01-001-006-01</v>
          </cell>
          <cell r="C275" t="str">
            <v>02</v>
          </cell>
          <cell r="D275" t="str">
            <v>02</v>
          </cell>
          <cell r="E275" t="str">
            <v>01</v>
          </cell>
          <cell r="F275" t="str">
            <v>001</v>
          </cell>
          <cell r="G275" t="str">
            <v>006</v>
          </cell>
          <cell r="H275" t="str">
            <v>01</v>
          </cell>
          <cell r="K275" t="str">
            <v>ADA-Minerales para la industria química, abonos minerales</v>
          </cell>
        </row>
        <row r="276">
          <cell r="A276" t="str">
            <v>02020100100602</v>
          </cell>
          <cell r="B276" t="str">
            <v>02-02-01-001-006-02</v>
          </cell>
          <cell r="C276" t="str">
            <v>02</v>
          </cell>
          <cell r="D276" t="str">
            <v>02</v>
          </cell>
          <cell r="E276" t="str">
            <v>01</v>
          </cell>
          <cell r="F276" t="str">
            <v>001</v>
          </cell>
          <cell r="G276" t="str">
            <v>006</v>
          </cell>
          <cell r="H276" t="str">
            <v>02</v>
          </cell>
          <cell r="K276" t="str">
            <v>ADA-Cloruro de sodio puro y sus sales, agua de mar</v>
          </cell>
        </row>
        <row r="277">
          <cell r="A277" t="str">
            <v>02020100100603</v>
          </cell>
          <cell r="B277" t="str">
            <v>02-02-01-001-006-03</v>
          </cell>
          <cell r="C277" t="str">
            <v>02</v>
          </cell>
          <cell r="D277" t="str">
            <v>02</v>
          </cell>
          <cell r="E277" t="str">
            <v>01</v>
          </cell>
          <cell r="F277" t="str">
            <v>001</v>
          </cell>
          <cell r="G277" t="str">
            <v>006</v>
          </cell>
          <cell r="H277" t="str">
            <v>03</v>
          </cell>
          <cell r="K277" t="str">
            <v>ADA-Piedras preciosas y semipreciosas; piedra pómez, piedra esmeril; abrasivos naturales; otros minerales</v>
          </cell>
        </row>
        <row r="278">
          <cell r="A278" t="str">
            <v>02020100100701</v>
          </cell>
          <cell r="B278" t="str">
            <v>02-02-01-001-007-01</v>
          </cell>
          <cell r="C278" t="str">
            <v>02</v>
          </cell>
          <cell r="D278" t="str">
            <v>02</v>
          </cell>
          <cell r="E278" t="str">
            <v>01</v>
          </cell>
          <cell r="F278" t="str">
            <v>001</v>
          </cell>
          <cell r="G278" t="str">
            <v>007</v>
          </cell>
          <cell r="H278" t="str">
            <v>01</v>
          </cell>
          <cell r="K278" t="str">
            <v>ADA-Energía eléctrica</v>
          </cell>
        </row>
        <row r="279">
          <cell r="A279" t="str">
            <v>02020100100702</v>
          </cell>
          <cell r="B279" t="str">
            <v>02-02-01-001-007-02</v>
          </cell>
          <cell r="C279" t="str">
            <v>02</v>
          </cell>
          <cell r="D279" t="str">
            <v>02</v>
          </cell>
          <cell r="E279" t="str">
            <v>01</v>
          </cell>
          <cell r="F279" t="str">
            <v>001</v>
          </cell>
          <cell r="G279" t="str">
            <v>007</v>
          </cell>
          <cell r="H279" t="str">
            <v>02</v>
          </cell>
          <cell r="K279" t="str">
            <v>ADA-Gas de carbón, gas de agua, gas pobre y otros gases similares (excepto los gases de petróleo y otros hidrocarburos gaseosos)</v>
          </cell>
        </row>
        <row r="280">
          <cell r="A280" t="str">
            <v>02020100100703</v>
          </cell>
          <cell r="B280" t="str">
            <v>02-02-01-001-007-03</v>
          </cell>
          <cell r="C280" t="str">
            <v>02</v>
          </cell>
          <cell r="D280" t="str">
            <v>02</v>
          </cell>
          <cell r="E280" t="str">
            <v>01</v>
          </cell>
          <cell r="F280" t="str">
            <v>001</v>
          </cell>
          <cell r="G280" t="str">
            <v>007</v>
          </cell>
          <cell r="H280" t="str">
            <v>03</v>
          </cell>
          <cell r="K280" t="str">
            <v>ADA-Vapor y agua caliente</v>
          </cell>
        </row>
        <row r="281">
          <cell r="A281" t="str">
            <v>02020100100704</v>
          </cell>
          <cell r="B281" t="str">
            <v>02-02-01-001-007-04</v>
          </cell>
          <cell r="C281" t="str">
            <v>02</v>
          </cell>
          <cell r="D281" t="str">
            <v>02</v>
          </cell>
          <cell r="E281" t="str">
            <v>01</v>
          </cell>
          <cell r="F281" t="str">
            <v>001</v>
          </cell>
          <cell r="G281" t="str">
            <v>007</v>
          </cell>
          <cell r="H281" t="str">
            <v>04</v>
          </cell>
          <cell r="K281" t="str">
            <v>ADA-Nieve</v>
          </cell>
        </row>
        <row r="282">
          <cell r="A282" t="str">
            <v>020201001008</v>
          </cell>
          <cell r="B282" t="str">
            <v>02-02-01-001-008</v>
          </cell>
          <cell r="C282" t="str">
            <v>02</v>
          </cell>
          <cell r="D282" t="str">
            <v>02</v>
          </cell>
          <cell r="E282" t="str">
            <v>01</v>
          </cell>
          <cell r="F282" t="str">
            <v>001</v>
          </cell>
          <cell r="G282" t="str">
            <v>008</v>
          </cell>
          <cell r="K282" t="str">
            <v>ADA-Agua natural</v>
          </cell>
        </row>
        <row r="283">
          <cell r="A283" t="str">
            <v>02020100200101</v>
          </cell>
          <cell r="B283" t="str">
            <v>02-02-01-002-001-01</v>
          </cell>
          <cell r="C283" t="str">
            <v>02</v>
          </cell>
          <cell r="D283" t="str">
            <v>02</v>
          </cell>
          <cell r="E283" t="str">
            <v>01</v>
          </cell>
          <cell r="F283" t="str">
            <v>002</v>
          </cell>
          <cell r="G283" t="str">
            <v>001</v>
          </cell>
          <cell r="H283" t="str">
            <v>01</v>
          </cell>
          <cell r="K283" t="str">
            <v>ADA-Carne y productos cárnicos</v>
          </cell>
        </row>
        <row r="284">
          <cell r="A284" t="str">
            <v>02020100200102</v>
          </cell>
          <cell r="B284" t="str">
            <v>02-02-01-002-001-02</v>
          </cell>
          <cell r="C284" t="str">
            <v>02</v>
          </cell>
          <cell r="D284" t="str">
            <v>02</v>
          </cell>
          <cell r="E284" t="str">
            <v>01</v>
          </cell>
          <cell r="F284" t="str">
            <v>002</v>
          </cell>
          <cell r="G284" t="str">
            <v>001</v>
          </cell>
          <cell r="H284" t="str">
            <v>02</v>
          </cell>
          <cell r="K284" t="str">
            <v>ADA-Preparaciones y conservas de pescado, crustáceos, moluscos y demás invertebrados acuáticos</v>
          </cell>
        </row>
        <row r="285">
          <cell r="A285" t="str">
            <v>02020100200103</v>
          </cell>
          <cell r="B285" t="str">
            <v>02-02-01-002-001-03</v>
          </cell>
          <cell r="C285" t="str">
            <v>02</v>
          </cell>
          <cell r="D285" t="str">
            <v>02</v>
          </cell>
          <cell r="E285" t="str">
            <v>01</v>
          </cell>
          <cell r="F285" t="str">
            <v>002</v>
          </cell>
          <cell r="G285" t="str">
            <v>001</v>
          </cell>
          <cell r="H285" t="str">
            <v>03</v>
          </cell>
          <cell r="K285" t="str">
            <v>ADA-Preparaciones y conservas de hortalizas, legumbres, tubérculos y papas</v>
          </cell>
        </row>
        <row r="286">
          <cell r="A286" t="str">
            <v>02020100200104</v>
          </cell>
          <cell r="B286" t="str">
            <v>02-02-01-002-001-04</v>
          </cell>
          <cell r="C286" t="str">
            <v>02</v>
          </cell>
          <cell r="D286" t="str">
            <v>02</v>
          </cell>
          <cell r="E286" t="str">
            <v>01</v>
          </cell>
          <cell r="F286" t="str">
            <v>002</v>
          </cell>
          <cell r="G286" t="str">
            <v>001</v>
          </cell>
          <cell r="H286" t="str">
            <v>04</v>
          </cell>
          <cell r="K286" t="str">
            <v>ADA-Preparaciones y conservas de frutas y nueces</v>
          </cell>
        </row>
        <row r="287">
          <cell r="A287" t="str">
            <v>02020100200105</v>
          </cell>
          <cell r="B287" t="str">
            <v>02-02-01-002-001-05</v>
          </cell>
          <cell r="C287" t="str">
            <v>02</v>
          </cell>
          <cell r="D287" t="str">
            <v>02</v>
          </cell>
          <cell r="E287" t="str">
            <v>01</v>
          </cell>
          <cell r="F287" t="str">
            <v>002</v>
          </cell>
          <cell r="G287" t="str">
            <v>001</v>
          </cell>
          <cell r="H287" t="str">
            <v>05</v>
          </cell>
          <cell r="K287" t="str">
            <v>ADA-Aceites y grasas animales y vegetales</v>
          </cell>
        </row>
        <row r="288">
          <cell r="A288" t="str">
            <v>02020100200106</v>
          </cell>
          <cell r="B288" t="str">
            <v>02-02-01-002-001-06</v>
          </cell>
          <cell r="C288" t="str">
            <v>02</v>
          </cell>
          <cell r="D288" t="str">
            <v>02</v>
          </cell>
          <cell r="E288" t="str">
            <v>01</v>
          </cell>
          <cell r="F288" t="str">
            <v>002</v>
          </cell>
          <cell r="G288" t="str">
            <v>001</v>
          </cell>
          <cell r="H288" t="str">
            <v>06</v>
          </cell>
          <cell r="K288" t="str">
            <v>ADA-Borra de algodón</v>
          </cell>
        </row>
        <row r="289">
          <cell r="A289" t="str">
            <v>02020100200107</v>
          </cell>
          <cell r="B289" t="str">
            <v>02-02-01-002-001-07</v>
          </cell>
          <cell r="C289" t="str">
            <v>02</v>
          </cell>
          <cell r="D289" t="str">
            <v>02</v>
          </cell>
          <cell r="E289" t="str">
            <v>01</v>
          </cell>
          <cell r="F289" t="str">
            <v>002</v>
          </cell>
          <cell r="G289" t="str">
            <v>001</v>
          </cell>
          <cell r="H289" t="str">
            <v>07</v>
          </cell>
          <cell r="K289" t="str">
            <v>ADA-Tortas y demás residuos de la extracción de grasas o aceites vegetales; harina y polvo de semillas o de frutos oleaginosos (excepto las de mostaza); ceras vegetales (excepto los triglicéridos); degrás, residuos del tratamiento de grasas y cera animal</v>
          </cell>
        </row>
        <row r="290">
          <cell r="A290" t="str">
            <v>020201002002</v>
          </cell>
          <cell r="B290" t="str">
            <v>02-02-01-002-002</v>
          </cell>
          <cell r="C290" t="str">
            <v>02</v>
          </cell>
          <cell r="D290" t="str">
            <v>02</v>
          </cell>
          <cell r="E290" t="str">
            <v>01</v>
          </cell>
          <cell r="F290" t="str">
            <v>002</v>
          </cell>
          <cell r="G290" t="str">
            <v>002</v>
          </cell>
          <cell r="K290" t="str">
            <v>ADA-Productos lácteos y ovoproductos</v>
          </cell>
        </row>
        <row r="291">
          <cell r="A291" t="str">
            <v>02020100200301</v>
          </cell>
          <cell r="B291" t="str">
            <v>02-02-01-002-003-01</v>
          </cell>
          <cell r="C291" t="str">
            <v>02</v>
          </cell>
          <cell r="D291" t="str">
            <v>02</v>
          </cell>
          <cell r="E291" t="str">
            <v>01</v>
          </cell>
          <cell r="F291" t="str">
            <v>002</v>
          </cell>
          <cell r="G291" t="str">
            <v>003</v>
          </cell>
          <cell r="H291" t="str">
            <v>01</v>
          </cell>
          <cell r="K291" t="str">
            <v>ADA-Productos de molinería</v>
          </cell>
        </row>
        <row r="292">
          <cell r="A292" t="str">
            <v>02020100200302</v>
          </cell>
          <cell r="B292" t="str">
            <v>02-02-01-002-003-02</v>
          </cell>
          <cell r="C292" t="str">
            <v>02</v>
          </cell>
          <cell r="D292" t="str">
            <v>02</v>
          </cell>
          <cell r="E292" t="str">
            <v>01</v>
          </cell>
          <cell r="F292" t="str">
            <v>002</v>
          </cell>
          <cell r="G292" t="str">
            <v>003</v>
          </cell>
          <cell r="H292" t="str">
            <v>02</v>
          </cell>
          <cell r="K292" t="str">
            <v>ADA-Almidones y productos derivados del almidón, azúcares y jarabes de azúcar n. C. P.</v>
          </cell>
        </row>
        <row r="293">
          <cell r="A293" t="str">
            <v>02020100200303</v>
          </cell>
          <cell r="B293" t="str">
            <v>02-02-01-002-003-03</v>
          </cell>
          <cell r="C293" t="str">
            <v>02</v>
          </cell>
          <cell r="D293" t="str">
            <v>02</v>
          </cell>
          <cell r="E293" t="str">
            <v>01</v>
          </cell>
          <cell r="F293" t="str">
            <v>002</v>
          </cell>
          <cell r="G293" t="str">
            <v>003</v>
          </cell>
          <cell r="H293" t="str">
            <v>03</v>
          </cell>
          <cell r="K293" t="str">
            <v>ADA-Preparaciones utilizadas en la alimentación de animales</v>
          </cell>
        </row>
        <row r="294">
          <cell r="A294" t="str">
            <v>02020100200304</v>
          </cell>
          <cell r="B294" t="str">
            <v>02-02-01-002-003-04</v>
          </cell>
          <cell r="C294" t="str">
            <v>02</v>
          </cell>
          <cell r="D294" t="str">
            <v>02</v>
          </cell>
          <cell r="E294" t="str">
            <v>01</v>
          </cell>
          <cell r="F294" t="str">
            <v>002</v>
          </cell>
          <cell r="G294" t="str">
            <v>003</v>
          </cell>
          <cell r="H294" t="str">
            <v>04</v>
          </cell>
          <cell r="K294" t="str">
            <v>ADA-Productos de panadería</v>
          </cell>
        </row>
        <row r="295">
          <cell r="A295" t="str">
            <v>02020100200305</v>
          </cell>
          <cell r="B295" t="str">
            <v>02-02-01-002-003-05</v>
          </cell>
          <cell r="C295" t="str">
            <v>02</v>
          </cell>
          <cell r="D295" t="str">
            <v>02</v>
          </cell>
          <cell r="E295" t="str">
            <v>01</v>
          </cell>
          <cell r="F295" t="str">
            <v>002</v>
          </cell>
          <cell r="G295" t="str">
            <v>003</v>
          </cell>
          <cell r="H295" t="str">
            <v>05</v>
          </cell>
          <cell r="K295" t="str">
            <v>ADA-Azúcar</v>
          </cell>
        </row>
        <row r="296">
          <cell r="A296" t="str">
            <v>02020100200306</v>
          </cell>
          <cell r="B296" t="str">
            <v>02-02-01-002-003-06</v>
          </cell>
          <cell r="C296" t="str">
            <v>02</v>
          </cell>
          <cell r="D296" t="str">
            <v>02</v>
          </cell>
          <cell r="E296" t="str">
            <v>01</v>
          </cell>
          <cell r="F296" t="str">
            <v>002</v>
          </cell>
          <cell r="G296" t="str">
            <v>003</v>
          </cell>
          <cell r="H296" t="str">
            <v>06</v>
          </cell>
          <cell r="K296" t="str">
            <v>ADA-Cacao, chocolate y confitería</v>
          </cell>
        </row>
        <row r="297">
          <cell r="A297" t="str">
            <v>02020100200307</v>
          </cell>
          <cell r="B297" t="str">
            <v>02-02-01-002-003-07</v>
          </cell>
          <cell r="C297" t="str">
            <v>02</v>
          </cell>
          <cell r="D297" t="str">
            <v>02</v>
          </cell>
          <cell r="E297" t="str">
            <v>01</v>
          </cell>
          <cell r="F297" t="str">
            <v>002</v>
          </cell>
          <cell r="G297" t="str">
            <v>003</v>
          </cell>
          <cell r="H297" t="str">
            <v>07</v>
          </cell>
          <cell r="K297" t="str">
            <v>ADA-Macarrones, fideos, alcuzcuz y productos farináceos similares</v>
          </cell>
        </row>
        <row r="298">
          <cell r="A298" t="str">
            <v>02020100200308</v>
          </cell>
          <cell r="B298" t="str">
            <v>02-02-01-002-003-08</v>
          </cell>
          <cell r="C298" t="str">
            <v>02</v>
          </cell>
          <cell r="D298" t="str">
            <v>02</v>
          </cell>
          <cell r="E298" t="str">
            <v>01</v>
          </cell>
          <cell r="F298" t="str">
            <v>002</v>
          </cell>
          <cell r="G298" t="str">
            <v>003</v>
          </cell>
          <cell r="H298" t="str">
            <v>08</v>
          </cell>
          <cell r="K298" t="str">
            <v>ADA-Productos del café</v>
          </cell>
        </row>
        <row r="299">
          <cell r="A299" t="str">
            <v>02020100200309</v>
          </cell>
          <cell r="B299" t="str">
            <v>02-02-01-002-003-09</v>
          </cell>
          <cell r="C299" t="str">
            <v>02</v>
          </cell>
          <cell r="D299" t="str">
            <v>02</v>
          </cell>
          <cell r="E299" t="str">
            <v>01</v>
          </cell>
          <cell r="F299" t="str">
            <v>002</v>
          </cell>
          <cell r="G299" t="str">
            <v>003</v>
          </cell>
          <cell r="H299" t="str">
            <v>09</v>
          </cell>
          <cell r="K299" t="str">
            <v>ADA-Otros productos alimenticios n. C. P.</v>
          </cell>
        </row>
        <row r="300">
          <cell r="A300" t="str">
            <v>02020100200401</v>
          </cell>
          <cell r="B300" t="str">
            <v>02-02-01-002-004-01</v>
          </cell>
          <cell r="C300" t="str">
            <v>02</v>
          </cell>
          <cell r="D300" t="str">
            <v>02</v>
          </cell>
          <cell r="E300" t="str">
            <v>01</v>
          </cell>
          <cell r="F300" t="str">
            <v>002</v>
          </cell>
          <cell r="G300" t="str">
            <v>004</v>
          </cell>
          <cell r="H300" t="str">
            <v>01</v>
          </cell>
          <cell r="K300" t="str">
            <v>ADA-Alcohol etílico; aguardientes, licores y otras bebidas espirituosas</v>
          </cell>
        </row>
        <row r="301">
          <cell r="A301" t="str">
            <v>02020100200402</v>
          </cell>
          <cell r="B301" t="str">
            <v>02-02-01-002-004-02</v>
          </cell>
          <cell r="C301" t="str">
            <v>02</v>
          </cell>
          <cell r="D301" t="str">
            <v>02</v>
          </cell>
          <cell r="E301" t="str">
            <v>01</v>
          </cell>
          <cell r="F301" t="str">
            <v>002</v>
          </cell>
          <cell r="G301" t="str">
            <v>004</v>
          </cell>
          <cell r="H301" t="str">
            <v>02</v>
          </cell>
          <cell r="K301" t="str">
            <v>ADA-Vinos</v>
          </cell>
        </row>
        <row r="302">
          <cell r="A302" t="str">
            <v>02020100200403</v>
          </cell>
          <cell r="B302" t="str">
            <v>02-02-01-002-004-03</v>
          </cell>
          <cell r="C302" t="str">
            <v>02</v>
          </cell>
          <cell r="D302" t="str">
            <v>02</v>
          </cell>
          <cell r="E302" t="str">
            <v>01</v>
          </cell>
          <cell r="F302" t="str">
            <v>002</v>
          </cell>
          <cell r="G302" t="str">
            <v>004</v>
          </cell>
          <cell r="H302" t="str">
            <v>03</v>
          </cell>
          <cell r="K302" t="str">
            <v>ADA-Licores de malta y malta</v>
          </cell>
        </row>
        <row r="303">
          <cell r="A303" t="str">
            <v>02020100200404</v>
          </cell>
          <cell r="B303" t="str">
            <v>02-02-01-002-004-04</v>
          </cell>
          <cell r="C303" t="str">
            <v>02</v>
          </cell>
          <cell r="D303" t="str">
            <v>02</v>
          </cell>
          <cell r="E303" t="str">
            <v>01</v>
          </cell>
          <cell r="F303" t="str">
            <v>002</v>
          </cell>
          <cell r="G303" t="str">
            <v>004</v>
          </cell>
          <cell r="H303" t="str">
            <v>04</v>
          </cell>
          <cell r="K303" t="str">
            <v>ADA-Bebidas no alcohólicas; aguas minerales embotelladas</v>
          </cell>
        </row>
        <row r="304">
          <cell r="A304" t="str">
            <v>020201002005</v>
          </cell>
          <cell r="B304" t="str">
            <v>02-02-01-002-005</v>
          </cell>
          <cell r="C304" t="str">
            <v>02</v>
          </cell>
          <cell r="D304" t="str">
            <v>02</v>
          </cell>
          <cell r="E304" t="str">
            <v>01</v>
          </cell>
          <cell r="F304" t="str">
            <v>002</v>
          </cell>
          <cell r="G304" t="str">
            <v>005</v>
          </cell>
          <cell r="K304" t="str">
            <v>ADA-Productos de tabaco</v>
          </cell>
        </row>
        <row r="305">
          <cell r="A305" t="str">
            <v>020201002006</v>
          </cell>
          <cell r="B305" t="str">
            <v>02-02-01-002-006</v>
          </cell>
          <cell r="C305" t="str">
            <v>02</v>
          </cell>
          <cell r="D305" t="str">
            <v>02</v>
          </cell>
          <cell r="E305" t="str">
            <v>01</v>
          </cell>
          <cell r="F305" t="str">
            <v>002</v>
          </cell>
          <cell r="G305" t="str">
            <v>006</v>
          </cell>
          <cell r="K305" t="str">
            <v>ADA-Hilados e hilos; tejidos de fibras textiles incluso afelpados</v>
          </cell>
        </row>
        <row r="306">
          <cell r="A306" t="str">
            <v>020201002007</v>
          </cell>
          <cell r="B306" t="str">
            <v>02-02-01-002-007</v>
          </cell>
          <cell r="C306" t="str">
            <v>02</v>
          </cell>
          <cell r="D306" t="str">
            <v>02</v>
          </cell>
          <cell r="E306" t="str">
            <v>01</v>
          </cell>
          <cell r="F306" t="str">
            <v>002</v>
          </cell>
          <cell r="G306" t="str">
            <v>007</v>
          </cell>
          <cell r="K306" t="str">
            <v>ADA-Artículos textiles (excepto prendas de vestir)</v>
          </cell>
        </row>
        <row r="307">
          <cell r="A307" t="str">
            <v>020201002008</v>
          </cell>
          <cell r="B307" t="str">
            <v>02-02-01-002-008</v>
          </cell>
          <cell r="C307" t="str">
            <v>02</v>
          </cell>
          <cell r="D307" t="str">
            <v>02</v>
          </cell>
          <cell r="E307" t="str">
            <v>01</v>
          </cell>
          <cell r="F307" t="str">
            <v>002</v>
          </cell>
          <cell r="G307" t="str">
            <v>008</v>
          </cell>
          <cell r="K307" t="str">
            <v>ADA-Dotación (prendas de vestir y calzado)</v>
          </cell>
        </row>
        <row r="308">
          <cell r="A308" t="str">
            <v>02020100200901</v>
          </cell>
          <cell r="B308" t="str">
            <v>02-02-01-002-009-01</v>
          </cell>
          <cell r="C308" t="str">
            <v>02</v>
          </cell>
          <cell r="D308" t="str">
            <v>02</v>
          </cell>
          <cell r="E308" t="str">
            <v>01</v>
          </cell>
          <cell r="F308" t="str">
            <v>002</v>
          </cell>
          <cell r="G308" t="str">
            <v>009</v>
          </cell>
          <cell r="H308" t="str">
            <v>01</v>
          </cell>
          <cell r="K308" t="str">
            <v>ADA-Cuero curtido o adobado; cuero regenerado</v>
          </cell>
        </row>
        <row r="309">
          <cell r="A309" t="str">
            <v>020201003001</v>
          </cell>
          <cell r="B309" t="str">
            <v>02-02-01-003-001</v>
          </cell>
          <cell r="C309" t="str">
            <v>02</v>
          </cell>
          <cell r="D309" t="str">
            <v>02</v>
          </cell>
          <cell r="E309" t="str">
            <v>01</v>
          </cell>
          <cell r="F309" t="str">
            <v>003</v>
          </cell>
          <cell r="G309" t="str">
            <v>001</v>
          </cell>
          <cell r="K309" t="str">
            <v>ADA-Productos de madera, corcho, cestería y espartería</v>
          </cell>
        </row>
        <row r="310">
          <cell r="A310" t="str">
            <v>02020100300201</v>
          </cell>
          <cell r="B310" t="str">
            <v>02-02-01-003-002-01</v>
          </cell>
          <cell r="C310" t="str">
            <v>02</v>
          </cell>
          <cell r="D310" t="str">
            <v>02</v>
          </cell>
          <cell r="E310" t="str">
            <v>01</v>
          </cell>
          <cell r="F310" t="str">
            <v>003</v>
          </cell>
          <cell r="G310" t="str">
            <v>002</v>
          </cell>
          <cell r="H310" t="str">
            <v>01</v>
          </cell>
          <cell r="K310" t="str">
            <v>ADA-Pasta de papel, papel y cartón</v>
          </cell>
        </row>
        <row r="311">
          <cell r="A311" t="str">
            <v>02020100300202</v>
          </cell>
          <cell r="B311" t="str">
            <v>02-02-01-003-002-02</v>
          </cell>
          <cell r="C311" t="str">
            <v>02</v>
          </cell>
          <cell r="D311" t="str">
            <v>02</v>
          </cell>
          <cell r="E311" t="str">
            <v>01</v>
          </cell>
          <cell r="F311" t="str">
            <v>003</v>
          </cell>
          <cell r="G311" t="str">
            <v>002</v>
          </cell>
          <cell r="H311" t="str">
            <v>02</v>
          </cell>
          <cell r="K311" t="str">
            <v>ADA-Libros impresos</v>
          </cell>
        </row>
        <row r="312">
          <cell r="A312" t="str">
            <v>02020100300203</v>
          </cell>
          <cell r="B312" t="str">
            <v>02-02-01-003-002-03</v>
          </cell>
          <cell r="C312" t="str">
            <v>02</v>
          </cell>
          <cell r="D312" t="str">
            <v>02</v>
          </cell>
          <cell r="E312" t="str">
            <v>01</v>
          </cell>
          <cell r="F312" t="str">
            <v>003</v>
          </cell>
          <cell r="G312" t="str">
            <v>002</v>
          </cell>
          <cell r="H312" t="str">
            <v>03</v>
          </cell>
          <cell r="K312" t="str">
            <v>ADA-Diarios, revistas y publicaciones periódicas, publicados por lo menos cuatro veces por semana</v>
          </cell>
        </row>
        <row r="313">
          <cell r="A313" t="str">
            <v>02020100300204</v>
          </cell>
          <cell r="B313" t="str">
            <v>02-02-01-003-002-04</v>
          </cell>
          <cell r="C313" t="str">
            <v>02</v>
          </cell>
          <cell r="D313" t="str">
            <v>02</v>
          </cell>
          <cell r="E313" t="str">
            <v>01</v>
          </cell>
          <cell r="F313" t="str">
            <v>003</v>
          </cell>
          <cell r="G313" t="str">
            <v>002</v>
          </cell>
          <cell r="H313" t="str">
            <v>04</v>
          </cell>
          <cell r="K313" t="str">
            <v>ADA-Diarios, revistas y publicaciones periódicas, publicados menos de cuatro veces por semana</v>
          </cell>
        </row>
        <row r="314">
          <cell r="A314" t="str">
            <v>02020100300205</v>
          </cell>
          <cell r="B314" t="str">
            <v>02-02-01-003-002-05</v>
          </cell>
          <cell r="C314" t="str">
            <v>02</v>
          </cell>
          <cell r="D314" t="str">
            <v>02</v>
          </cell>
          <cell r="E314" t="str">
            <v>01</v>
          </cell>
          <cell r="F314" t="str">
            <v>003</v>
          </cell>
          <cell r="G314" t="str">
            <v>002</v>
          </cell>
          <cell r="H314" t="str">
            <v>05</v>
          </cell>
          <cell r="K314" t="str">
            <v>ADA-Mapas impresos; música impresa o en manuscrito; tarjetas postales, tarjetas de felicitación, fotografías y planos</v>
          </cell>
        </row>
        <row r="315">
          <cell r="A315" t="str">
            <v>02020100300206</v>
          </cell>
          <cell r="B315" t="str">
            <v>02-02-01-003-002-06</v>
          </cell>
          <cell r="C315" t="str">
            <v>02</v>
          </cell>
          <cell r="D315" t="str">
            <v>02</v>
          </cell>
          <cell r="E315" t="str">
            <v>01</v>
          </cell>
          <cell r="F315" t="str">
            <v>003</v>
          </cell>
          <cell r="G315" t="str">
            <v>002</v>
          </cell>
          <cell r="H315" t="str">
            <v>06</v>
          </cell>
          <cell r="K315" t="str">
            <v>ADA-Sellos, chequeras, billetes de banco, títulos de acciones, catálogos y folletos, material para anuncios publicitarios y otros materiales impresos</v>
          </cell>
        </row>
        <row r="316">
          <cell r="A316" t="str">
            <v>02020100300207</v>
          </cell>
          <cell r="B316" t="str">
            <v>02-02-01-003-002-07</v>
          </cell>
          <cell r="C316" t="str">
            <v>02</v>
          </cell>
          <cell r="D316" t="str">
            <v>02</v>
          </cell>
          <cell r="E316" t="str">
            <v>01</v>
          </cell>
          <cell r="F316" t="str">
            <v>003</v>
          </cell>
          <cell r="G316" t="str">
            <v>002</v>
          </cell>
          <cell r="H316" t="str">
            <v>07</v>
          </cell>
          <cell r="K316" t="str">
            <v>ADA-Libros de registros, libros de contabilidad, cuadernillos de notas, bloques para cartas, agendas y artículos similares, secantes, encuadernadores, clasificadores para archivos, formularios y otros artículos de escritorio, de papel o cartón</v>
          </cell>
        </row>
        <row r="317">
          <cell r="A317" t="str">
            <v>02020100300208</v>
          </cell>
          <cell r="B317" t="str">
            <v>02-02-01-003-002-08</v>
          </cell>
          <cell r="C317" t="str">
            <v>02</v>
          </cell>
          <cell r="D317" t="str">
            <v>02</v>
          </cell>
          <cell r="E317" t="str">
            <v>01</v>
          </cell>
          <cell r="F317" t="str">
            <v>003</v>
          </cell>
          <cell r="G317" t="str">
            <v>002</v>
          </cell>
          <cell r="H317" t="str">
            <v>08</v>
          </cell>
          <cell r="K317" t="str">
            <v>ADA-Tipos de imprenta, planchas o cilindros, preparados para las artes gráficas, piedras litográficas impresas u otros elementos de impresión</v>
          </cell>
        </row>
        <row r="318">
          <cell r="A318" t="str">
            <v>02020100300301</v>
          </cell>
          <cell r="B318" t="str">
            <v>02-02-01-003-003-01</v>
          </cell>
          <cell r="C318" t="str">
            <v>02</v>
          </cell>
          <cell r="D318" t="str">
            <v>02</v>
          </cell>
          <cell r="E318" t="str">
            <v>01</v>
          </cell>
          <cell r="F318" t="str">
            <v>003</v>
          </cell>
          <cell r="G318" t="str">
            <v>003</v>
          </cell>
          <cell r="H318" t="str">
            <v>01</v>
          </cell>
          <cell r="K318" t="str">
            <v>ADA-Carbón coque y semicoque, carbón de lignito o carbón de hulla; carbón de retorta</v>
          </cell>
        </row>
        <row r="319">
          <cell r="A319" t="str">
            <v>02020100300302</v>
          </cell>
          <cell r="B319" t="str">
            <v>02-02-01-003-003-02</v>
          </cell>
          <cell r="C319" t="str">
            <v>02</v>
          </cell>
          <cell r="D319" t="str">
            <v>02</v>
          </cell>
          <cell r="E319" t="str">
            <v>01</v>
          </cell>
          <cell r="F319" t="str">
            <v>003</v>
          </cell>
          <cell r="G319" t="str">
            <v>003</v>
          </cell>
          <cell r="H319" t="str">
            <v>02</v>
          </cell>
          <cell r="K319" t="str">
            <v>ADA-Alquitrán de carbón, de carbón lignito, hulla y otras tortas minerales</v>
          </cell>
        </row>
        <row r="320">
          <cell r="A320" t="str">
            <v>02020100300303</v>
          </cell>
          <cell r="B320" t="str">
            <v>02-02-01-003-003-03</v>
          </cell>
          <cell r="C320" t="str">
            <v>02</v>
          </cell>
          <cell r="D320" t="str">
            <v>02</v>
          </cell>
          <cell r="E320" t="str">
            <v>01</v>
          </cell>
          <cell r="F320" t="str">
            <v>003</v>
          </cell>
          <cell r="G320" t="str">
            <v>003</v>
          </cell>
          <cell r="H320" t="str">
            <v>03</v>
          </cell>
          <cell r="K320" t="str">
            <v>ADA-Aceites de petróleo o aceites obtenidos de minerales bituminosos (excepto los aceites crudos); preparados n. C. P. , que contengan por lo menos el 70% de su peso en aceites de esos tipos y cuyos componentes básicos sean esos aceites</v>
          </cell>
        </row>
        <row r="321">
          <cell r="A321" t="str">
            <v>02020100300304</v>
          </cell>
          <cell r="B321" t="str">
            <v>02-02-01-003-003-04</v>
          </cell>
          <cell r="C321" t="str">
            <v>02</v>
          </cell>
          <cell r="D321" t="str">
            <v>02</v>
          </cell>
          <cell r="E321" t="str">
            <v>01</v>
          </cell>
          <cell r="F321" t="str">
            <v>003</v>
          </cell>
          <cell r="G321" t="str">
            <v>003</v>
          </cell>
          <cell r="H321" t="str">
            <v>04</v>
          </cell>
          <cell r="K321" t="str">
            <v>ADA-Gas de petróleo y otros hidrocarburos gaseosos (excepto gas natural)</v>
          </cell>
        </row>
        <row r="322">
          <cell r="A322" t="str">
            <v>02020100300305</v>
          </cell>
          <cell r="B322" t="str">
            <v>02-02-01-003-003-05</v>
          </cell>
          <cell r="C322" t="str">
            <v>02</v>
          </cell>
          <cell r="D322" t="str">
            <v>02</v>
          </cell>
          <cell r="E322" t="str">
            <v>01</v>
          </cell>
          <cell r="F322" t="str">
            <v>003</v>
          </cell>
          <cell r="G322" t="str">
            <v>003</v>
          </cell>
          <cell r="H322" t="str">
            <v>05</v>
          </cell>
          <cell r="K322" t="str">
            <v>ADA-Vaselina, cera de parafina, cera de petróleo de microcristalina, cera cruda, ozocerita, cera de lignito, cera de turba, otras ceras minerales y productos similares, coque de petróleo, betún de petróleo y otros residuos de los aceites de petróleo</v>
          </cell>
        </row>
        <row r="323">
          <cell r="A323" t="str">
            <v>02020100300306</v>
          </cell>
          <cell r="B323" t="str">
            <v>02-02-01-003-003-06</v>
          </cell>
          <cell r="C323" t="str">
            <v>02</v>
          </cell>
          <cell r="D323" t="str">
            <v>02</v>
          </cell>
          <cell r="E323" t="str">
            <v>01</v>
          </cell>
          <cell r="F323" t="str">
            <v>003</v>
          </cell>
          <cell r="G323" t="str">
            <v>003</v>
          </cell>
          <cell r="H323" t="str">
            <v>06</v>
          </cell>
          <cell r="K323" t="str">
            <v>ADA-Elementos radiactivos, isótopos y compuestos radiactivos; aleaciones, dispersiones, productos cerámicos y mezclas que contengan estos elementos, isótopos o compuestos radiactivos; residuos radiactivos</v>
          </cell>
        </row>
        <row r="324">
          <cell r="A324" t="str">
            <v>02020100300307</v>
          </cell>
          <cell r="B324" t="str">
            <v>02-02-01-003-003-07</v>
          </cell>
          <cell r="C324" t="str">
            <v>02</v>
          </cell>
          <cell r="D324" t="str">
            <v>02</v>
          </cell>
          <cell r="E324" t="str">
            <v>01</v>
          </cell>
          <cell r="F324" t="str">
            <v>003</v>
          </cell>
          <cell r="G324" t="str">
            <v>003</v>
          </cell>
          <cell r="H324" t="str">
            <v>07</v>
          </cell>
          <cell r="K324" t="str">
            <v>ADA-Elementos combustibles (cartuchos) para reactores nucleares o de reactores nucleares</v>
          </cell>
        </row>
        <row r="325">
          <cell r="A325" t="str">
            <v>02020100300401</v>
          </cell>
          <cell r="B325" t="str">
            <v>02-02-01-003-004-01</v>
          </cell>
          <cell r="C325" t="str">
            <v>02</v>
          </cell>
          <cell r="D325" t="str">
            <v>02</v>
          </cell>
          <cell r="E325" t="str">
            <v>01</v>
          </cell>
          <cell r="F325" t="str">
            <v>003</v>
          </cell>
          <cell r="G325" t="str">
            <v>004</v>
          </cell>
          <cell r="H325" t="str">
            <v>01</v>
          </cell>
          <cell r="K325" t="str">
            <v>ADA-Químicos orgánicos básicos</v>
          </cell>
        </row>
        <row r="326">
          <cell r="A326" t="str">
            <v>02020100300402</v>
          </cell>
          <cell r="B326" t="str">
            <v>02-02-01-003-004-02</v>
          </cell>
          <cell r="C326" t="str">
            <v>02</v>
          </cell>
          <cell r="D326" t="str">
            <v>02</v>
          </cell>
          <cell r="E326" t="str">
            <v>01</v>
          </cell>
          <cell r="F326" t="str">
            <v>003</v>
          </cell>
          <cell r="G326" t="str">
            <v>004</v>
          </cell>
          <cell r="H326" t="str">
            <v>02</v>
          </cell>
          <cell r="K326" t="str">
            <v>ADA-Productos químicos inorgánicos básicos n. C. P.</v>
          </cell>
        </row>
        <row r="327">
          <cell r="A327" t="str">
            <v>02020100300403</v>
          </cell>
          <cell r="B327" t="str">
            <v>02-02-01-003-004-03</v>
          </cell>
          <cell r="C327" t="str">
            <v>02</v>
          </cell>
          <cell r="D327" t="str">
            <v>02</v>
          </cell>
          <cell r="E327" t="str">
            <v>01</v>
          </cell>
          <cell r="F327" t="str">
            <v>003</v>
          </cell>
          <cell r="G327" t="str">
            <v>004</v>
          </cell>
          <cell r="H327" t="str">
            <v>03</v>
          </cell>
          <cell r="K327" t="str">
            <v>ADA-Extractos tintóreos y curtientes; taninos y sus derivados; sustancias colorantes n. C. P.</v>
          </cell>
        </row>
        <row r="328">
          <cell r="A328" t="str">
            <v>02020100300404</v>
          </cell>
          <cell r="B328" t="str">
            <v>02-02-01-003-004-04</v>
          </cell>
          <cell r="C328" t="str">
            <v>02</v>
          </cell>
          <cell r="D328" t="str">
            <v>02</v>
          </cell>
          <cell r="E328" t="str">
            <v>01</v>
          </cell>
          <cell r="F328" t="str">
            <v>003</v>
          </cell>
          <cell r="G328" t="str">
            <v>004</v>
          </cell>
          <cell r="H328" t="str">
            <v>04</v>
          </cell>
          <cell r="K328" t="str">
            <v>ADA-Productos minerales naturales activados; negro animal; aceite de resina; aceites terpénicos producidos en el tratamiento de maderas de árboles coníferos; dipenteno y ρ-cimeno en bruto; aceite de pino; colofonia y ácidos resínicos, esencias</v>
          </cell>
        </row>
        <row r="329">
          <cell r="A329" t="str">
            <v>02020100300405</v>
          </cell>
          <cell r="B329" t="str">
            <v>02-02-01-003-004-05</v>
          </cell>
          <cell r="C329" t="str">
            <v>02</v>
          </cell>
          <cell r="D329" t="str">
            <v>02</v>
          </cell>
          <cell r="E329" t="str">
            <v>01</v>
          </cell>
          <cell r="F329" t="str">
            <v>003</v>
          </cell>
          <cell r="G329" t="str">
            <v>004</v>
          </cell>
          <cell r="H329" t="str">
            <v>05</v>
          </cell>
          <cell r="K329" t="str">
            <v>ADA-Productos químicos básicos diversos</v>
          </cell>
        </row>
        <row r="330">
          <cell r="A330" t="str">
            <v>02020100300406</v>
          </cell>
          <cell r="B330" t="str">
            <v>02-02-01-003-004-06</v>
          </cell>
          <cell r="C330" t="str">
            <v>02</v>
          </cell>
          <cell r="D330" t="str">
            <v>02</v>
          </cell>
          <cell r="E330" t="str">
            <v>01</v>
          </cell>
          <cell r="F330" t="str">
            <v>003</v>
          </cell>
          <cell r="G330" t="str">
            <v>004</v>
          </cell>
          <cell r="H330" t="str">
            <v>06</v>
          </cell>
          <cell r="K330" t="str">
            <v>ADA-Abonos y plaguicidas</v>
          </cell>
        </row>
        <row r="331">
          <cell r="A331" t="str">
            <v>02020100300407</v>
          </cell>
          <cell r="B331" t="str">
            <v>02-02-01-003-004-07</v>
          </cell>
          <cell r="C331" t="str">
            <v>02</v>
          </cell>
          <cell r="D331" t="str">
            <v>02</v>
          </cell>
          <cell r="E331" t="str">
            <v>01</v>
          </cell>
          <cell r="F331" t="str">
            <v>003</v>
          </cell>
          <cell r="G331" t="str">
            <v>004</v>
          </cell>
          <cell r="H331" t="str">
            <v>07</v>
          </cell>
          <cell r="K331" t="str">
            <v>ADA-Plásticos en formas primarias</v>
          </cell>
        </row>
        <row r="332">
          <cell r="A332" t="str">
            <v>02020100300408</v>
          </cell>
          <cell r="B332" t="str">
            <v>02-02-01-003-004-08</v>
          </cell>
          <cell r="C332" t="str">
            <v>02</v>
          </cell>
          <cell r="D332" t="str">
            <v>02</v>
          </cell>
          <cell r="E332" t="str">
            <v>01</v>
          </cell>
          <cell r="F332" t="str">
            <v>003</v>
          </cell>
          <cell r="G332" t="str">
            <v>004</v>
          </cell>
          <cell r="H332" t="str">
            <v>08</v>
          </cell>
          <cell r="K332" t="str">
            <v>ADA-Caucho sintético y facticio derivado del petróleo, mezclas de estos cauchos con caucho natural y gomas naturales similares, en formas primarias o en planchas, hojas o tiras</v>
          </cell>
        </row>
        <row r="333">
          <cell r="A333" t="str">
            <v>02020100300501</v>
          </cell>
          <cell r="B333" t="str">
            <v>02-02-01-003-005-01</v>
          </cell>
          <cell r="C333" t="str">
            <v>02</v>
          </cell>
          <cell r="D333" t="str">
            <v>02</v>
          </cell>
          <cell r="E333" t="str">
            <v>01</v>
          </cell>
          <cell r="F333" t="str">
            <v>003</v>
          </cell>
          <cell r="G333" t="str">
            <v>005</v>
          </cell>
          <cell r="H333" t="str">
            <v>01</v>
          </cell>
          <cell r="K333" t="str">
            <v>ADA-Pinturas y barnices y productos relacionados; colores para la pintura artística; tintas</v>
          </cell>
        </row>
        <row r="334">
          <cell r="A334" t="str">
            <v>02020100300502</v>
          </cell>
          <cell r="B334" t="str">
            <v>02-02-01-003-005-02</v>
          </cell>
          <cell r="C334" t="str">
            <v>02</v>
          </cell>
          <cell r="D334" t="str">
            <v>02</v>
          </cell>
          <cell r="E334" t="str">
            <v>01</v>
          </cell>
          <cell r="F334" t="str">
            <v>003</v>
          </cell>
          <cell r="G334" t="str">
            <v>005</v>
          </cell>
          <cell r="H334" t="str">
            <v>02</v>
          </cell>
          <cell r="K334" t="str">
            <v>ADA-Productos farmacéuticos</v>
          </cell>
        </row>
        <row r="335">
          <cell r="A335" t="str">
            <v>02020100300503</v>
          </cell>
          <cell r="B335" t="str">
            <v>02-02-01-003-005-03</v>
          </cell>
          <cell r="C335" t="str">
            <v>02</v>
          </cell>
          <cell r="D335" t="str">
            <v>02</v>
          </cell>
          <cell r="E335" t="str">
            <v>01</v>
          </cell>
          <cell r="F335" t="str">
            <v>003</v>
          </cell>
          <cell r="G335" t="str">
            <v>005</v>
          </cell>
          <cell r="H335" t="str">
            <v>03</v>
          </cell>
          <cell r="K335" t="str">
            <v>ADA-Jabón, preparados para limpieza, perfumes y preparados de tocador</v>
          </cell>
        </row>
        <row r="336">
          <cell r="A336" t="str">
            <v>02020100300504</v>
          </cell>
          <cell r="B336" t="str">
            <v>02-02-01-003-005-04</v>
          </cell>
          <cell r="C336" t="str">
            <v>02</v>
          </cell>
          <cell r="D336" t="str">
            <v>02</v>
          </cell>
          <cell r="E336" t="str">
            <v>01</v>
          </cell>
          <cell r="F336" t="str">
            <v>003</v>
          </cell>
          <cell r="G336" t="str">
            <v>005</v>
          </cell>
          <cell r="H336" t="str">
            <v>04</v>
          </cell>
          <cell r="K336" t="str">
            <v>ADA-Productos químicos n. C. P.</v>
          </cell>
        </row>
        <row r="337">
          <cell r="A337" t="str">
            <v>02020100300505</v>
          </cell>
          <cell r="B337" t="str">
            <v>02-02-01-003-005-05</v>
          </cell>
          <cell r="C337" t="str">
            <v>02</v>
          </cell>
          <cell r="D337" t="str">
            <v>02</v>
          </cell>
          <cell r="E337" t="str">
            <v>01</v>
          </cell>
          <cell r="F337" t="str">
            <v>003</v>
          </cell>
          <cell r="G337" t="str">
            <v>005</v>
          </cell>
          <cell r="H337" t="str">
            <v>05</v>
          </cell>
          <cell r="K337" t="str">
            <v>ADA-Fibras textiles manufacturadas</v>
          </cell>
        </row>
        <row r="338">
          <cell r="A338" t="str">
            <v>02020100300601</v>
          </cell>
          <cell r="B338" t="str">
            <v>02-02-01-003-006-01</v>
          </cell>
          <cell r="C338" t="str">
            <v>02</v>
          </cell>
          <cell r="D338" t="str">
            <v>02</v>
          </cell>
          <cell r="E338" t="str">
            <v>01</v>
          </cell>
          <cell r="F338" t="str">
            <v>003</v>
          </cell>
          <cell r="G338" t="str">
            <v>006</v>
          </cell>
          <cell r="H338" t="str">
            <v>01</v>
          </cell>
          <cell r="K338" t="str">
            <v>ADA-Llantas de caucho y neumáticos (cámaras de aire)</v>
          </cell>
        </row>
        <row r="339">
          <cell r="A339" t="str">
            <v>02020100300602</v>
          </cell>
          <cell r="B339" t="str">
            <v>02-02-01-003-006-02</v>
          </cell>
          <cell r="C339" t="str">
            <v>02</v>
          </cell>
          <cell r="D339" t="str">
            <v>02</v>
          </cell>
          <cell r="E339" t="str">
            <v>01</v>
          </cell>
          <cell r="F339" t="str">
            <v>003</v>
          </cell>
          <cell r="G339" t="str">
            <v>006</v>
          </cell>
          <cell r="H339" t="str">
            <v>02</v>
          </cell>
          <cell r="K339" t="str">
            <v>ADA-Otros productos de caucho</v>
          </cell>
        </row>
        <row r="340">
          <cell r="A340" t="str">
            <v>02020100300603</v>
          </cell>
          <cell r="B340" t="str">
            <v>02-02-01-003-006-03</v>
          </cell>
          <cell r="C340" t="str">
            <v>02</v>
          </cell>
          <cell r="D340" t="str">
            <v>02</v>
          </cell>
          <cell r="E340" t="str">
            <v>01</v>
          </cell>
          <cell r="F340" t="str">
            <v>003</v>
          </cell>
          <cell r="G340" t="str">
            <v>006</v>
          </cell>
          <cell r="H340" t="str">
            <v>03</v>
          </cell>
          <cell r="K340" t="str">
            <v>ADA-Semimanufacturas de plástico</v>
          </cell>
        </row>
        <row r="341">
          <cell r="A341" t="str">
            <v>02020100300604</v>
          </cell>
          <cell r="B341" t="str">
            <v>02-02-01-003-006-04</v>
          </cell>
          <cell r="C341" t="str">
            <v>02</v>
          </cell>
          <cell r="D341" t="str">
            <v>02</v>
          </cell>
          <cell r="E341" t="str">
            <v>01</v>
          </cell>
          <cell r="F341" t="str">
            <v>003</v>
          </cell>
          <cell r="G341" t="str">
            <v>006</v>
          </cell>
          <cell r="H341" t="str">
            <v>04</v>
          </cell>
          <cell r="K341" t="str">
            <v>ADA-Productos de empaque y envasado, de plástico</v>
          </cell>
        </row>
        <row r="342">
          <cell r="A342" t="str">
            <v>02020100300609</v>
          </cell>
          <cell r="B342" t="str">
            <v>02-02-01-003-006-09</v>
          </cell>
          <cell r="C342" t="str">
            <v>02</v>
          </cell>
          <cell r="D342" t="str">
            <v>02</v>
          </cell>
          <cell r="E342" t="str">
            <v>01</v>
          </cell>
          <cell r="F342" t="str">
            <v>003</v>
          </cell>
          <cell r="G342" t="str">
            <v>006</v>
          </cell>
          <cell r="H342" t="str">
            <v>09</v>
          </cell>
          <cell r="K342" t="str">
            <v>ADA-Otros productos plásticos</v>
          </cell>
        </row>
        <row r="343">
          <cell r="A343" t="str">
            <v>02020100300701</v>
          </cell>
          <cell r="B343" t="str">
            <v>02-02-01-003-007-01</v>
          </cell>
          <cell r="C343" t="str">
            <v>02</v>
          </cell>
          <cell r="D343" t="str">
            <v>02</v>
          </cell>
          <cell r="E343" t="str">
            <v>01</v>
          </cell>
          <cell r="F343" t="str">
            <v>003</v>
          </cell>
          <cell r="G343" t="str">
            <v>007</v>
          </cell>
          <cell r="H343" t="str">
            <v>01</v>
          </cell>
          <cell r="K343" t="str">
            <v>ADA-Vidrio y productos de vidrio</v>
          </cell>
        </row>
        <row r="344">
          <cell r="A344" t="str">
            <v>02020100300702</v>
          </cell>
          <cell r="B344" t="str">
            <v>02-02-01-003-007-02</v>
          </cell>
          <cell r="C344" t="str">
            <v>02</v>
          </cell>
          <cell r="D344" t="str">
            <v>02</v>
          </cell>
          <cell r="E344" t="str">
            <v>01</v>
          </cell>
          <cell r="F344" t="str">
            <v>003</v>
          </cell>
          <cell r="G344" t="str">
            <v>007</v>
          </cell>
          <cell r="H344" t="str">
            <v>02</v>
          </cell>
          <cell r="K344" t="str">
            <v>ADA-Artículos de cerámica no estructural</v>
          </cell>
        </row>
        <row r="345">
          <cell r="A345" t="str">
            <v>02020100300703</v>
          </cell>
          <cell r="B345" t="str">
            <v>02-02-01-003-007-03</v>
          </cell>
          <cell r="C345" t="str">
            <v>02</v>
          </cell>
          <cell r="D345" t="str">
            <v>02</v>
          </cell>
          <cell r="E345" t="str">
            <v>01</v>
          </cell>
          <cell r="F345" t="str">
            <v>003</v>
          </cell>
          <cell r="G345" t="str">
            <v>007</v>
          </cell>
          <cell r="H345" t="str">
            <v>03</v>
          </cell>
          <cell r="K345" t="str">
            <v>ADA-Productos refractarios y productos estructurales no refractarios de arcilla</v>
          </cell>
        </row>
        <row r="346">
          <cell r="A346" t="str">
            <v>02020100300704</v>
          </cell>
          <cell r="B346" t="str">
            <v>02-02-01-003-007-04</v>
          </cell>
          <cell r="C346" t="str">
            <v>02</v>
          </cell>
          <cell r="D346" t="str">
            <v>02</v>
          </cell>
          <cell r="E346" t="str">
            <v>01</v>
          </cell>
          <cell r="F346" t="str">
            <v>003</v>
          </cell>
          <cell r="G346" t="str">
            <v>007</v>
          </cell>
          <cell r="H346" t="str">
            <v>04</v>
          </cell>
          <cell r="K346" t="str">
            <v>ADA-Yeso, cal y cemento</v>
          </cell>
        </row>
        <row r="347">
          <cell r="A347" t="str">
            <v>02020100300705</v>
          </cell>
          <cell r="B347" t="str">
            <v>02-02-01-003-007-05</v>
          </cell>
          <cell r="C347" t="str">
            <v>02</v>
          </cell>
          <cell r="D347" t="str">
            <v>02</v>
          </cell>
          <cell r="E347" t="str">
            <v>01</v>
          </cell>
          <cell r="F347" t="str">
            <v>003</v>
          </cell>
          <cell r="G347" t="str">
            <v>007</v>
          </cell>
          <cell r="H347" t="str">
            <v>05</v>
          </cell>
          <cell r="K347" t="str">
            <v>ADA-Artículos de concreto, cemento y yeso</v>
          </cell>
        </row>
        <row r="348">
          <cell r="A348" t="str">
            <v>02020100300706</v>
          </cell>
          <cell r="B348" t="str">
            <v>02-02-01-003-007-06</v>
          </cell>
          <cell r="C348" t="str">
            <v>02</v>
          </cell>
          <cell r="D348" t="str">
            <v>02</v>
          </cell>
          <cell r="E348" t="str">
            <v>01</v>
          </cell>
          <cell r="F348" t="str">
            <v>003</v>
          </cell>
          <cell r="G348" t="str">
            <v>007</v>
          </cell>
          <cell r="H348" t="str">
            <v>06</v>
          </cell>
          <cell r="K348" t="str">
            <v>ADA-Piedra de construcción o de talla labradas, y sus manufacturas (excepto sin labrar, que se clasifican en el grupo 151)</v>
          </cell>
        </row>
        <row r="349">
          <cell r="A349" t="str">
            <v>02020100300709</v>
          </cell>
          <cell r="B349" t="str">
            <v>02-02-01-003-007-09</v>
          </cell>
          <cell r="C349" t="str">
            <v>02</v>
          </cell>
          <cell r="D349" t="str">
            <v>02</v>
          </cell>
          <cell r="E349" t="str">
            <v>01</v>
          </cell>
          <cell r="F349" t="str">
            <v>003</v>
          </cell>
          <cell r="G349" t="str">
            <v>007</v>
          </cell>
          <cell r="H349" t="str">
            <v>09</v>
          </cell>
          <cell r="K349" t="str">
            <v>ADA-Otros productos minerales no metálicos n. C. P.</v>
          </cell>
        </row>
        <row r="350">
          <cell r="A350" t="str">
            <v>020201003008011</v>
          </cell>
          <cell r="B350" t="str">
            <v>02-02-01-003-008-01-1</v>
          </cell>
          <cell r="C350" t="str">
            <v>02</v>
          </cell>
          <cell r="D350" t="str">
            <v>02</v>
          </cell>
          <cell r="E350" t="str">
            <v>01</v>
          </cell>
          <cell r="F350" t="str">
            <v>003</v>
          </cell>
          <cell r="G350" t="str">
            <v>008</v>
          </cell>
          <cell r="H350" t="str">
            <v>01</v>
          </cell>
          <cell r="I350" t="str">
            <v>1</v>
          </cell>
          <cell r="K350" t="str">
            <v>ADA-Asientos</v>
          </cell>
        </row>
        <row r="351">
          <cell r="A351" t="str">
            <v>020201003008012</v>
          </cell>
          <cell r="B351" t="str">
            <v>02-02-01-003-008-01-2</v>
          </cell>
          <cell r="C351" t="str">
            <v>02</v>
          </cell>
          <cell r="D351" t="str">
            <v>02</v>
          </cell>
          <cell r="E351" t="str">
            <v>01</v>
          </cell>
          <cell r="F351" t="str">
            <v>003</v>
          </cell>
          <cell r="G351" t="str">
            <v>008</v>
          </cell>
          <cell r="H351" t="str">
            <v>01</v>
          </cell>
          <cell r="I351" t="str">
            <v>2</v>
          </cell>
          <cell r="K351" t="str">
            <v>ADA-Muebles, Del Tipo Utilizado En Oficinas</v>
          </cell>
        </row>
        <row r="352">
          <cell r="A352" t="str">
            <v>020201003008013</v>
          </cell>
          <cell r="B352" t="str">
            <v>02-02-01-003-008-01-3</v>
          </cell>
          <cell r="C352" t="str">
            <v>02</v>
          </cell>
          <cell r="D352" t="str">
            <v>02</v>
          </cell>
          <cell r="E352" t="str">
            <v>01</v>
          </cell>
          <cell r="F352" t="str">
            <v>003</v>
          </cell>
          <cell r="G352" t="str">
            <v>008</v>
          </cell>
          <cell r="H352" t="str">
            <v>01</v>
          </cell>
          <cell r="I352" t="str">
            <v>3</v>
          </cell>
          <cell r="K352" t="str">
            <v>ADA-Muebles De Madera, Del Tipo Utilizado En La Cocina</v>
          </cell>
        </row>
        <row r="353">
          <cell r="A353" t="str">
            <v>020201003008014</v>
          </cell>
          <cell r="B353" t="str">
            <v>02-02-01-003-008-01-4</v>
          </cell>
          <cell r="C353" t="str">
            <v>02</v>
          </cell>
          <cell r="D353" t="str">
            <v>02</v>
          </cell>
          <cell r="E353" t="str">
            <v>01</v>
          </cell>
          <cell r="F353" t="str">
            <v>003</v>
          </cell>
          <cell r="G353" t="str">
            <v>008</v>
          </cell>
          <cell r="H353" t="str">
            <v>01</v>
          </cell>
          <cell r="I353" t="str">
            <v>4</v>
          </cell>
          <cell r="K353" t="str">
            <v>ADA-Otros Muebles N.C.P.</v>
          </cell>
        </row>
        <row r="354">
          <cell r="A354" t="str">
            <v>020201003008015</v>
          </cell>
          <cell r="B354" t="str">
            <v>02-02-01-003-008-01-5</v>
          </cell>
          <cell r="C354" t="str">
            <v>02</v>
          </cell>
          <cell r="D354" t="str">
            <v>02</v>
          </cell>
          <cell r="E354" t="str">
            <v>01</v>
          </cell>
          <cell r="F354" t="str">
            <v>003</v>
          </cell>
          <cell r="G354" t="str">
            <v>008</v>
          </cell>
          <cell r="H354" t="str">
            <v>01</v>
          </cell>
          <cell r="I354" t="str">
            <v>5</v>
          </cell>
          <cell r="K354" t="str">
            <v>ADA-Somieres, Colchones Con Muelles, Rellenos O Guarnecidos Interiormente Con Cualquier Material, De Caucho O Plásticos Celulares, Recubiertos O No</v>
          </cell>
        </row>
        <row r="355">
          <cell r="A355" t="str">
            <v>020201003008016</v>
          </cell>
          <cell r="B355" t="str">
            <v>02-02-01-003-008-01-6</v>
          </cell>
          <cell r="C355" t="str">
            <v>02</v>
          </cell>
          <cell r="D355" t="str">
            <v>02</v>
          </cell>
          <cell r="E355" t="str">
            <v>01</v>
          </cell>
          <cell r="F355" t="str">
            <v>003</v>
          </cell>
          <cell r="G355" t="str">
            <v>008</v>
          </cell>
          <cell r="H355" t="str">
            <v>01</v>
          </cell>
          <cell r="I355" t="str">
            <v>6</v>
          </cell>
          <cell r="K355" t="str">
            <v>ADA-Partes Y Piezas De Muebles</v>
          </cell>
        </row>
        <row r="356">
          <cell r="A356" t="str">
            <v>02020100300803</v>
          </cell>
          <cell r="B356" t="str">
            <v>02-02-01-003-008-03</v>
          </cell>
          <cell r="C356" t="str">
            <v>02</v>
          </cell>
          <cell r="D356" t="str">
            <v>02</v>
          </cell>
          <cell r="E356" t="str">
            <v>01</v>
          </cell>
          <cell r="F356" t="str">
            <v>003</v>
          </cell>
          <cell r="G356" t="str">
            <v>008</v>
          </cell>
          <cell r="H356" t="str">
            <v>03</v>
          </cell>
          <cell r="K356" t="str">
            <v>ADA-Instrtumentos Musicales</v>
          </cell>
        </row>
        <row r="357">
          <cell r="A357" t="str">
            <v>02020100300804</v>
          </cell>
          <cell r="B357" t="str">
            <v>02-02-01-003-008-04</v>
          </cell>
          <cell r="C357" t="str">
            <v>02</v>
          </cell>
          <cell r="D357" t="str">
            <v>02</v>
          </cell>
          <cell r="E357" t="str">
            <v>01</v>
          </cell>
          <cell r="F357" t="str">
            <v>003</v>
          </cell>
          <cell r="G357" t="str">
            <v>008</v>
          </cell>
          <cell r="H357" t="str">
            <v>04</v>
          </cell>
          <cell r="K357" t="str">
            <v>ADA-Articulos de Deporte</v>
          </cell>
        </row>
        <row r="358">
          <cell r="A358" t="str">
            <v>02020100300805</v>
          </cell>
          <cell r="B358" t="str">
            <v>02-02-01-003-008-05</v>
          </cell>
          <cell r="C358" t="str">
            <v>02</v>
          </cell>
          <cell r="D358" t="str">
            <v>02</v>
          </cell>
          <cell r="E358" t="str">
            <v>01</v>
          </cell>
          <cell r="F358" t="str">
            <v>003</v>
          </cell>
          <cell r="G358" t="str">
            <v>008</v>
          </cell>
          <cell r="H358" t="str">
            <v>05</v>
          </cell>
          <cell r="K358" t="str">
            <v>ADA-Juegos y juguetes</v>
          </cell>
        </row>
        <row r="359">
          <cell r="A359" t="str">
            <v>02020100300806</v>
          </cell>
          <cell r="B359" t="str">
            <v>02-02-01-003-008-06</v>
          </cell>
          <cell r="C359" t="str">
            <v>02</v>
          </cell>
          <cell r="D359" t="str">
            <v>02</v>
          </cell>
          <cell r="E359" t="str">
            <v>01</v>
          </cell>
          <cell r="F359" t="str">
            <v>003</v>
          </cell>
          <cell r="G359" t="str">
            <v>008</v>
          </cell>
          <cell r="H359" t="str">
            <v>06</v>
          </cell>
          <cell r="K359" t="str">
            <v>ADA-Tiovivos (carruseles), columpios, casetas de tiro y demás atracciones de feria</v>
          </cell>
        </row>
        <row r="360">
          <cell r="A360" t="str">
            <v>02020100300807</v>
          </cell>
          <cell r="B360" t="str">
            <v>02-02-01-003-008-07</v>
          </cell>
          <cell r="C360" t="str">
            <v>02</v>
          </cell>
          <cell r="D360" t="str">
            <v>02</v>
          </cell>
          <cell r="E360" t="str">
            <v>01</v>
          </cell>
          <cell r="F360" t="str">
            <v>003</v>
          </cell>
          <cell r="G360" t="str">
            <v>008</v>
          </cell>
          <cell r="H360" t="str">
            <v>07</v>
          </cell>
          <cell r="K360" t="str">
            <v>ADA-Construcciones prefabricadas</v>
          </cell>
        </row>
        <row r="361">
          <cell r="A361" t="str">
            <v>02020100300809</v>
          </cell>
          <cell r="B361" t="str">
            <v>02-02-01-003-008-09</v>
          </cell>
          <cell r="C361" t="str">
            <v>02</v>
          </cell>
          <cell r="D361" t="str">
            <v>02</v>
          </cell>
          <cell r="E361" t="str">
            <v>01</v>
          </cell>
          <cell r="F361" t="str">
            <v>003</v>
          </cell>
          <cell r="G361" t="str">
            <v>008</v>
          </cell>
          <cell r="H361" t="str">
            <v>09</v>
          </cell>
          <cell r="K361" t="str">
            <v>ADA-Otros artículos manufacturados n. C. P.</v>
          </cell>
        </row>
        <row r="362">
          <cell r="A362" t="str">
            <v>020201003009</v>
          </cell>
          <cell r="B362" t="str">
            <v>02-02-01-003-009</v>
          </cell>
          <cell r="C362" t="str">
            <v>02</v>
          </cell>
          <cell r="D362" t="str">
            <v>02</v>
          </cell>
          <cell r="E362" t="str">
            <v>01</v>
          </cell>
          <cell r="F362" t="str">
            <v>003</v>
          </cell>
          <cell r="G362" t="str">
            <v>009</v>
          </cell>
          <cell r="K362" t="str">
            <v>ADA-Desperdicios; desechos y residuos</v>
          </cell>
        </row>
        <row r="363">
          <cell r="A363" t="str">
            <v>020201004001</v>
          </cell>
          <cell r="B363" t="str">
            <v>02-02-01-004-001</v>
          </cell>
          <cell r="C363" t="str">
            <v>02</v>
          </cell>
          <cell r="D363" t="str">
            <v>02</v>
          </cell>
          <cell r="E363" t="str">
            <v>01</v>
          </cell>
          <cell r="F363" t="str">
            <v>004</v>
          </cell>
          <cell r="G363" t="str">
            <v>001</v>
          </cell>
          <cell r="K363" t="str">
            <v>ADA-Metales básicos</v>
          </cell>
        </row>
        <row r="364">
          <cell r="A364" t="str">
            <v>020201004002</v>
          </cell>
          <cell r="B364" t="str">
            <v>02-02-01-004-002</v>
          </cell>
          <cell r="C364" t="str">
            <v>02</v>
          </cell>
          <cell r="D364" t="str">
            <v>02</v>
          </cell>
          <cell r="E364" t="str">
            <v>01</v>
          </cell>
          <cell r="F364" t="str">
            <v>004</v>
          </cell>
          <cell r="G364" t="str">
            <v>002</v>
          </cell>
          <cell r="K364" t="str">
            <v>ADA-Productos metálicos elaborados (excepto maquinaria y equipo)</v>
          </cell>
        </row>
        <row r="365">
          <cell r="A365" t="str">
            <v>02020100400301</v>
          </cell>
          <cell r="B365" t="str">
            <v>02-02-01-004-003-01</v>
          </cell>
          <cell r="C365" t="str">
            <v>02</v>
          </cell>
          <cell r="D365" t="str">
            <v>02</v>
          </cell>
          <cell r="E365" t="str">
            <v>01</v>
          </cell>
          <cell r="F365" t="str">
            <v>004</v>
          </cell>
          <cell r="G365" t="str">
            <v>003</v>
          </cell>
          <cell r="H365" t="str">
            <v>01</v>
          </cell>
          <cell r="K365" t="str">
            <v>ADA-Motores y turbinas y sus partes</v>
          </cell>
        </row>
        <row r="366">
          <cell r="A366" t="str">
            <v>02020100400302</v>
          </cell>
          <cell r="B366" t="str">
            <v>02-02-01-004-003-02</v>
          </cell>
          <cell r="C366" t="str">
            <v>02</v>
          </cell>
          <cell r="D366" t="str">
            <v>02</v>
          </cell>
          <cell r="E366" t="str">
            <v>01</v>
          </cell>
          <cell r="F366" t="str">
            <v>004</v>
          </cell>
          <cell r="G366" t="str">
            <v>003</v>
          </cell>
          <cell r="H366" t="str">
            <v>02</v>
          </cell>
          <cell r="K366" t="str">
            <v>ADA-Bombas, compresores, motores de fuerza hidráulica y motores de potencia neumática y válvulas y sus partes y piezas</v>
          </cell>
        </row>
        <row r="367">
          <cell r="A367" t="str">
            <v>02020100400303</v>
          </cell>
          <cell r="B367" t="str">
            <v>02-02-01-004-003-03</v>
          </cell>
          <cell r="C367" t="str">
            <v>02</v>
          </cell>
          <cell r="D367" t="str">
            <v>02</v>
          </cell>
          <cell r="E367" t="str">
            <v>01</v>
          </cell>
          <cell r="F367" t="str">
            <v>004</v>
          </cell>
          <cell r="G367" t="str">
            <v>003</v>
          </cell>
          <cell r="H367" t="str">
            <v>03</v>
          </cell>
          <cell r="K367" t="str">
            <v>ADA-Cojinetes, engranajes, ruedas de fricción y elementos de transmisión y sus partes y piezas</v>
          </cell>
        </row>
        <row r="368">
          <cell r="A368" t="str">
            <v>02020100400304</v>
          </cell>
          <cell r="B368" t="str">
            <v>02-02-01-004-003-04</v>
          </cell>
          <cell r="C368" t="str">
            <v>02</v>
          </cell>
          <cell r="D368" t="str">
            <v>02</v>
          </cell>
          <cell r="E368" t="str">
            <v>01</v>
          </cell>
          <cell r="F368" t="str">
            <v>004</v>
          </cell>
          <cell r="G368" t="str">
            <v>003</v>
          </cell>
          <cell r="H368" t="str">
            <v>04</v>
          </cell>
          <cell r="K368" t="str">
            <v>ADA-Hornos y quemadores para alimentación de hogares y sus partes y piezas</v>
          </cell>
        </row>
        <row r="369">
          <cell r="A369" t="str">
            <v>02020100400305</v>
          </cell>
          <cell r="B369" t="str">
            <v>02-02-01-004-003-05</v>
          </cell>
          <cell r="C369" t="str">
            <v>02</v>
          </cell>
          <cell r="D369" t="str">
            <v>02</v>
          </cell>
          <cell r="E369" t="str">
            <v>01</v>
          </cell>
          <cell r="F369" t="str">
            <v>004</v>
          </cell>
          <cell r="G369" t="str">
            <v>003</v>
          </cell>
          <cell r="H369" t="str">
            <v>05</v>
          </cell>
          <cell r="K369" t="str">
            <v>ADA-Equipo de elevación y manipulación y sus partes y piezas</v>
          </cell>
        </row>
        <row r="370">
          <cell r="A370" t="str">
            <v>02020100400309</v>
          </cell>
          <cell r="B370" t="str">
            <v>02-02-01-004-003-09</v>
          </cell>
          <cell r="C370" t="str">
            <v>02</v>
          </cell>
          <cell r="D370" t="str">
            <v>02</v>
          </cell>
          <cell r="E370" t="str">
            <v>01</v>
          </cell>
          <cell r="F370" t="str">
            <v>004</v>
          </cell>
          <cell r="G370" t="str">
            <v>003</v>
          </cell>
          <cell r="H370" t="str">
            <v>09</v>
          </cell>
          <cell r="K370" t="str">
            <v>ADA-Otras máquinas para usos generales y sus partes y piezas</v>
          </cell>
        </row>
        <row r="371">
          <cell r="A371" t="str">
            <v>02020100400401</v>
          </cell>
          <cell r="B371" t="str">
            <v>02-02-01-004-004-01</v>
          </cell>
          <cell r="C371" t="str">
            <v>02</v>
          </cell>
          <cell r="D371" t="str">
            <v>02</v>
          </cell>
          <cell r="E371" t="str">
            <v>01</v>
          </cell>
          <cell r="F371" t="str">
            <v>004</v>
          </cell>
          <cell r="G371" t="str">
            <v>004</v>
          </cell>
          <cell r="H371" t="str">
            <v>01</v>
          </cell>
          <cell r="K371" t="str">
            <v>ADA-Maquinaria agropecuaria o silvícola y sus partes y piezas</v>
          </cell>
        </row>
        <row r="372">
          <cell r="A372" t="str">
            <v>02020100400402</v>
          </cell>
          <cell r="B372" t="str">
            <v>02-02-01-004-004-02</v>
          </cell>
          <cell r="C372" t="str">
            <v>02</v>
          </cell>
          <cell r="D372" t="str">
            <v>02</v>
          </cell>
          <cell r="E372" t="str">
            <v>01</v>
          </cell>
          <cell r="F372" t="str">
            <v>004</v>
          </cell>
          <cell r="G372" t="str">
            <v>004</v>
          </cell>
          <cell r="H372" t="str">
            <v>02</v>
          </cell>
          <cell r="K372" t="str">
            <v>ADA-Máquinas herramientas y sus partes, piezas y accesorios</v>
          </cell>
        </row>
        <row r="373">
          <cell r="A373" t="str">
            <v>02020100400403</v>
          </cell>
          <cell r="B373" t="str">
            <v>02-02-01-004-004-03</v>
          </cell>
          <cell r="C373" t="str">
            <v>02</v>
          </cell>
          <cell r="D373" t="str">
            <v>02</v>
          </cell>
          <cell r="E373" t="str">
            <v>01</v>
          </cell>
          <cell r="F373" t="str">
            <v>004</v>
          </cell>
          <cell r="G373" t="str">
            <v>004</v>
          </cell>
          <cell r="H373" t="str">
            <v>03</v>
          </cell>
          <cell r="K373" t="str">
            <v>ADA-Maquinaria para la industria metalúrgica y sus partes y piezas</v>
          </cell>
        </row>
        <row r="374">
          <cell r="A374" t="str">
            <v>02020100400404</v>
          </cell>
          <cell r="B374" t="str">
            <v>02-02-01-004-004-04</v>
          </cell>
          <cell r="C374" t="str">
            <v>02</v>
          </cell>
          <cell r="D374" t="str">
            <v>02</v>
          </cell>
          <cell r="E374" t="str">
            <v>01</v>
          </cell>
          <cell r="F374" t="str">
            <v>004</v>
          </cell>
          <cell r="G374" t="str">
            <v>004</v>
          </cell>
          <cell r="H374" t="str">
            <v>04</v>
          </cell>
          <cell r="K374" t="str">
            <v>ADA-Maquinaria para la minería, la explotación de canteras y la construcción y sus partes y piezas</v>
          </cell>
        </row>
        <row r="375">
          <cell r="A375" t="str">
            <v>02020100400405</v>
          </cell>
          <cell r="B375" t="str">
            <v>02-02-01-004-004-05</v>
          </cell>
          <cell r="C375" t="str">
            <v>02</v>
          </cell>
          <cell r="D375" t="str">
            <v>02</v>
          </cell>
          <cell r="E375" t="str">
            <v>01</v>
          </cell>
          <cell r="F375" t="str">
            <v>004</v>
          </cell>
          <cell r="G375" t="str">
            <v>004</v>
          </cell>
          <cell r="H375" t="str">
            <v>05</v>
          </cell>
          <cell r="K375" t="str">
            <v>ADA-Maquinaria para la elaboración de alimentos, bebidas y tabaco, y sus partes y piezas</v>
          </cell>
        </row>
        <row r="376">
          <cell r="A376" t="str">
            <v>02020100400406</v>
          </cell>
          <cell r="B376" t="str">
            <v>02-02-01-004-004-06</v>
          </cell>
          <cell r="C376" t="str">
            <v>02</v>
          </cell>
          <cell r="D376" t="str">
            <v>02</v>
          </cell>
          <cell r="E376" t="str">
            <v>01</v>
          </cell>
          <cell r="F376" t="str">
            <v>004</v>
          </cell>
          <cell r="G376" t="str">
            <v>004</v>
          </cell>
          <cell r="H376" t="str">
            <v>06</v>
          </cell>
          <cell r="K376" t="str">
            <v>ADA-Maquinaria para la fabricación de textiles, prendas de vestir y artículos de cuero, y sus partes y piezas</v>
          </cell>
        </row>
        <row r="377">
          <cell r="A377" t="str">
            <v>02020100400407</v>
          </cell>
          <cell r="B377" t="str">
            <v>02-02-01-004-004-07</v>
          </cell>
          <cell r="C377" t="str">
            <v>02</v>
          </cell>
          <cell r="D377" t="str">
            <v>02</v>
          </cell>
          <cell r="E377" t="str">
            <v>01</v>
          </cell>
          <cell r="F377" t="str">
            <v>004</v>
          </cell>
          <cell r="G377" t="str">
            <v>004</v>
          </cell>
          <cell r="H377" t="str">
            <v>07</v>
          </cell>
          <cell r="K377" t="str">
            <v>ADA-Armas y municiones y sus partes y piezas</v>
          </cell>
        </row>
        <row r="378">
          <cell r="A378" t="str">
            <v>02020100400408</v>
          </cell>
          <cell r="B378" t="str">
            <v>02-02-01-004-004-08</v>
          </cell>
          <cell r="C378" t="str">
            <v>02</v>
          </cell>
          <cell r="D378" t="str">
            <v>02</v>
          </cell>
          <cell r="E378" t="str">
            <v>01</v>
          </cell>
          <cell r="F378" t="str">
            <v>004</v>
          </cell>
          <cell r="G378" t="str">
            <v>004</v>
          </cell>
          <cell r="H378" t="str">
            <v>08</v>
          </cell>
          <cell r="K378" t="str">
            <v>ADA-Aparatos de uso doméstico y sus partes y piezas</v>
          </cell>
        </row>
        <row r="379">
          <cell r="A379" t="str">
            <v>02020100400409</v>
          </cell>
          <cell r="B379" t="str">
            <v>02-02-01-004-004-09</v>
          </cell>
          <cell r="C379" t="str">
            <v>02</v>
          </cell>
          <cell r="D379" t="str">
            <v>02</v>
          </cell>
          <cell r="E379" t="str">
            <v>01</v>
          </cell>
          <cell r="F379" t="str">
            <v>004</v>
          </cell>
          <cell r="G379" t="str">
            <v>004</v>
          </cell>
          <cell r="H379" t="str">
            <v>09</v>
          </cell>
          <cell r="K379" t="str">
            <v>ADA-Otra maquinaria para usos especiales y sus partes y piezas</v>
          </cell>
        </row>
        <row r="380">
          <cell r="A380" t="str">
            <v>02020100400501</v>
          </cell>
          <cell r="B380" t="str">
            <v>02-02-01-004-005-01</v>
          </cell>
          <cell r="C380" t="str">
            <v>02</v>
          </cell>
          <cell r="D380" t="str">
            <v>02</v>
          </cell>
          <cell r="E380" t="str">
            <v>01</v>
          </cell>
          <cell r="F380" t="str">
            <v>004</v>
          </cell>
          <cell r="G380" t="str">
            <v>005</v>
          </cell>
          <cell r="H380" t="str">
            <v>01</v>
          </cell>
          <cell r="K380" t="str">
            <v>ADA-Máquinas para oficina y contabilidad, y sus partes y accesorios</v>
          </cell>
        </row>
        <row r="381">
          <cell r="A381" t="str">
            <v>02020100400502</v>
          </cell>
          <cell r="B381" t="str">
            <v>02-02-01-004-005-02</v>
          </cell>
          <cell r="C381" t="str">
            <v>02</v>
          </cell>
          <cell r="D381" t="str">
            <v>02</v>
          </cell>
          <cell r="E381" t="str">
            <v>01</v>
          </cell>
          <cell r="F381" t="str">
            <v>004</v>
          </cell>
          <cell r="G381" t="str">
            <v>005</v>
          </cell>
          <cell r="H381" t="str">
            <v>02</v>
          </cell>
          <cell r="K381" t="str">
            <v>ADA-Maquinaria de informática y sus partes, piezas y accesorios</v>
          </cell>
        </row>
        <row r="382">
          <cell r="A382" t="str">
            <v>02020100400601</v>
          </cell>
          <cell r="B382" t="str">
            <v>02-02-01-004-006-01</v>
          </cell>
          <cell r="C382" t="str">
            <v>02</v>
          </cell>
          <cell r="D382" t="str">
            <v>02</v>
          </cell>
          <cell r="E382" t="str">
            <v>01</v>
          </cell>
          <cell r="F382" t="str">
            <v>004</v>
          </cell>
          <cell r="G382" t="str">
            <v>006</v>
          </cell>
          <cell r="H382" t="str">
            <v>01</v>
          </cell>
          <cell r="K382" t="str">
            <v>ADA-Motores, generadores y transformadores eléctricos y sus partes y piezas</v>
          </cell>
        </row>
        <row r="383">
          <cell r="A383" t="str">
            <v>02020100400602</v>
          </cell>
          <cell r="B383" t="str">
            <v>02-02-01-004-006-02</v>
          </cell>
          <cell r="C383" t="str">
            <v>02</v>
          </cell>
          <cell r="D383" t="str">
            <v>02</v>
          </cell>
          <cell r="E383" t="str">
            <v>01</v>
          </cell>
          <cell r="F383" t="str">
            <v>004</v>
          </cell>
          <cell r="G383" t="str">
            <v>006</v>
          </cell>
          <cell r="H383" t="str">
            <v>02</v>
          </cell>
          <cell r="K383" t="str">
            <v>ADA-Aparatos de control eléctrico y distribución de electricidad y sus partes y piezas</v>
          </cell>
        </row>
        <row r="384">
          <cell r="A384" t="str">
            <v>02020100400603</v>
          </cell>
          <cell r="B384" t="str">
            <v>02-02-01-004-006-03</v>
          </cell>
          <cell r="C384" t="str">
            <v>02</v>
          </cell>
          <cell r="D384" t="str">
            <v>02</v>
          </cell>
          <cell r="E384" t="str">
            <v>01</v>
          </cell>
          <cell r="F384" t="str">
            <v>004</v>
          </cell>
          <cell r="G384" t="str">
            <v>006</v>
          </cell>
          <cell r="H384" t="str">
            <v>03</v>
          </cell>
          <cell r="K384" t="str">
            <v>ADA-Hilos y cables aislados; cable de fibra óptica</v>
          </cell>
        </row>
        <row r="385">
          <cell r="A385" t="str">
            <v>02020100400604</v>
          </cell>
          <cell r="B385" t="str">
            <v>02-02-01-004-006-04</v>
          </cell>
          <cell r="C385" t="str">
            <v>02</v>
          </cell>
          <cell r="D385" t="str">
            <v>02</v>
          </cell>
          <cell r="E385" t="str">
            <v>01</v>
          </cell>
          <cell r="F385" t="str">
            <v>004</v>
          </cell>
          <cell r="G385" t="str">
            <v>006</v>
          </cell>
          <cell r="H385" t="str">
            <v>04</v>
          </cell>
          <cell r="K385" t="str">
            <v>ADA-Acumuladores, pilas y baterías primarias y sus partes y piezas</v>
          </cell>
        </row>
        <row r="386">
          <cell r="A386" t="str">
            <v>02020100400605</v>
          </cell>
          <cell r="B386" t="str">
            <v>02-02-01-004-006-05</v>
          </cell>
          <cell r="C386" t="str">
            <v>02</v>
          </cell>
          <cell r="D386" t="str">
            <v>02</v>
          </cell>
          <cell r="E386" t="str">
            <v>01</v>
          </cell>
          <cell r="F386" t="str">
            <v>004</v>
          </cell>
          <cell r="G386" t="str">
            <v>006</v>
          </cell>
          <cell r="H386" t="str">
            <v>05</v>
          </cell>
          <cell r="K386" t="str">
            <v>ADA-Lámparas eléctricas de incandescencia o descarga; lámparas de arco, equipo para alumbrado eléctrico; sus partes y piezas</v>
          </cell>
        </row>
        <row r="387">
          <cell r="A387" t="str">
            <v>02020100400609</v>
          </cell>
          <cell r="B387" t="str">
            <v>02-02-01-004-006-09</v>
          </cell>
          <cell r="C387" t="str">
            <v>02</v>
          </cell>
          <cell r="D387" t="str">
            <v>02</v>
          </cell>
          <cell r="E387" t="str">
            <v>01</v>
          </cell>
          <cell r="F387" t="str">
            <v>004</v>
          </cell>
          <cell r="G387" t="str">
            <v>006</v>
          </cell>
          <cell r="H387" t="str">
            <v>09</v>
          </cell>
          <cell r="K387" t="str">
            <v>ADA-Otro equipo eléctrico y sus partes y piezas</v>
          </cell>
        </row>
        <row r="388">
          <cell r="A388" t="str">
            <v>02020100400701</v>
          </cell>
          <cell r="B388" t="str">
            <v>02-02-01-004-007-01</v>
          </cell>
          <cell r="C388" t="str">
            <v>02</v>
          </cell>
          <cell r="D388" t="str">
            <v>02</v>
          </cell>
          <cell r="E388" t="str">
            <v>01</v>
          </cell>
          <cell r="F388" t="str">
            <v>004</v>
          </cell>
          <cell r="G388" t="str">
            <v>007</v>
          </cell>
          <cell r="H388" t="str">
            <v>01</v>
          </cell>
          <cell r="K388" t="str">
            <v>ADA-Válvulas y tubos electrónicos; componentes electrónicos; sus partes y piezas</v>
          </cell>
        </row>
        <row r="389">
          <cell r="A389" t="str">
            <v>02020100400702</v>
          </cell>
          <cell r="B389" t="str">
            <v>02-02-01-004-007-02</v>
          </cell>
          <cell r="C389" t="str">
            <v>02</v>
          </cell>
          <cell r="D389" t="str">
            <v>02</v>
          </cell>
          <cell r="E389" t="str">
            <v>01</v>
          </cell>
          <cell r="F389" t="str">
            <v>004</v>
          </cell>
          <cell r="G389" t="str">
            <v>007</v>
          </cell>
          <cell r="H389" t="str">
            <v>02</v>
          </cell>
          <cell r="K389" t="str">
            <v>ADA-Aparatos transmisores de televisión y radio; televisión, video y cámaras digitales; teléfonos</v>
          </cell>
        </row>
        <row r="390">
          <cell r="A390" t="str">
            <v>02020100400703</v>
          </cell>
          <cell r="B390" t="str">
            <v>02-02-01-004-007-03</v>
          </cell>
          <cell r="C390" t="str">
            <v>02</v>
          </cell>
          <cell r="D390" t="str">
            <v>02</v>
          </cell>
          <cell r="E390" t="str">
            <v>01</v>
          </cell>
          <cell r="F390" t="str">
            <v>004</v>
          </cell>
          <cell r="G390" t="str">
            <v>007</v>
          </cell>
          <cell r="H390" t="str">
            <v>03</v>
          </cell>
          <cell r="K390" t="str">
            <v>ADA-Radiorreceptores y receptores de televisión; aparatos para la grabación y reproducción de sonido y video; micrófonos, altavoces, amplificadores, etc.</v>
          </cell>
        </row>
        <row r="391">
          <cell r="A391" t="str">
            <v>02020100400704</v>
          </cell>
          <cell r="B391" t="str">
            <v>02-02-01-004-007-04</v>
          </cell>
          <cell r="C391" t="str">
            <v>02</v>
          </cell>
          <cell r="D391" t="str">
            <v>02</v>
          </cell>
          <cell r="E391" t="str">
            <v>01</v>
          </cell>
          <cell r="F391" t="str">
            <v>004</v>
          </cell>
          <cell r="G391" t="str">
            <v>007</v>
          </cell>
          <cell r="H391" t="str">
            <v>04</v>
          </cell>
          <cell r="K391" t="str">
            <v>ADA-Partes y piezas de los productos de las clases 4721 a 4733 y 4822</v>
          </cell>
        </row>
        <row r="392">
          <cell r="A392" t="str">
            <v>02020100400705</v>
          </cell>
          <cell r="B392" t="str">
            <v>02-02-01-004-007-05</v>
          </cell>
          <cell r="C392" t="str">
            <v>02</v>
          </cell>
          <cell r="D392" t="str">
            <v>02</v>
          </cell>
          <cell r="E392" t="str">
            <v>01</v>
          </cell>
          <cell r="F392" t="str">
            <v>004</v>
          </cell>
          <cell r="G392" t="str">
            <v>007</v>
          </cell>
          <cell r="H392" t="str">
            <v>05</v>
          </cell>
          <cell r="K392" t="str">
            <v>ADA-Discos, cintas, dispositivos de almacenamiento en estado sólido no volátiles y otros medios, no grabados</v>
          </cell>
        </row>
        <row r="393">
          <cell r="A393" t="str">
            <v>02020100400706</v>
          </cell>
          <cell r="B393" t="str">
            <v>02-02-01-004-007-06</v>
          </cell>
          <cell r="C393" t="str">
            <v>02</v>
          </cell>
          <cell r="D393" t="str">
            <v>02</v>
          </cell>
          <cell r="E393" t="str">
            <v>01</v>
          </cell>
          <cell r="F393" t="str">
            <v>004</v>
          </cell>
          <cell r="G393" t="str">
            <v>007</v>
          </cell>
          <cell r="H393" t="str">
            <v>06</v>
          </cell>
          <cell r="K393" t="str">
            <v>ADA-Grabaciones de audio, video y otros discos, cintas y otros medios físicos</v>
          </cell>
        </row>
        <row r="394">
          <cell r="A394" t="str">
            <v>02020100400708</v>
          </cell>
          <cell r="B394" t="str">
            <v>02-02-01-004-007-08</v>
          </cell>
          <cell r="C394" t="str">
            <v>02</v>
          </cell>
          <cell r="D394" t="str">
            <v>02</v>
          </cell>
          <cell r="E394" t="str">
            <v>01</v>
          </cell>
          <cell r="F394" t="str">
            <v>004</v>
          </cell>
          <cell r="G394" t="str">
            <v>007</v>
          </cell>
          <cell r="H394" t="str">
            <v>08</v>
          </cell>
          <cell r="K394" t="str">
            <v>ADA-Paquetes de software</v>
          </cell>
        </row>
        <row r="395">
          <cell r="A395" t="str">
            <v>02020100400709</v>
          </cell>
          <cell r="B395" t="str">
            <v>02-02-01-004-007-09</v>
          </cell>
          <cell r="C395" t="str">
            <v>02</v>
          </cell>
          <cell r="D395" t="str">
            <v>02</v>
          </cell>
          <cell r="E395" t="str">
            <v>01</v>
          </cell>
          <cell r="F395" t="str">
            <v>004</v>
          </cell>
          <cell r="G395" t="str">
            <v>007</v>
          </cell>
          <cell r="H395" t="str">
            <v>09</v>
          </cell>
          <cell r="K395" t="str">
            <v>ADA-Tarjetas con bandas magnéticas o plaquetas (chip)</v>
          </cell>
        </row>
        <row r="396">
          <cell r="A396" t="str">
            <v>02020100400801</v>
          </cell>
          <cell r="B396" t="str">
            <v>02-02-01-004-008-01</v>
          </cell>
          <cell r="C396" t="str">
            <v>02</v>
          </cell>
          <cell r="D396" t="str">
            <v>02</v>
          </cell>
          <cell r="E396" t="str">
            <v>01</v>
          </cell>
          <cell r="F396" t="str">
            <v>004</v>
          </cell>
          <cell r="G396" t="str">
            <v>008</v>
          </cell>
          <cell r="H396" t="str">
            <v>01</v>
          </cell>
          <cell r="K396" t="str">
            <v>ADA-Aparatos médicos y quirúrgicos y aparatos ortésicos y protésicos</v>
          </cell>
        </row>
        <row r="397">
          <cell r="A397" t="str">
            <v>02020100400802</v>
          </cell>
          <cell r="B397" t="str">
            <v>02-02-01-004-008-02</v>
          </cell>
          <cell r="C397" t="str">
            <v>02</v>
          </cell>
          <cell r="D397" t="str">
            <v>02</v>
          </cell>
          <cell r="E397" t="str">
            <v>01</v>
          </cell>
          <cell r="F397" t="str">
            <v>004</v>
          </cell>
          <cell r="G397" t="str">
            <v>008</v>
          </cell>
          <cell r="H397" t="str">
            <v>02</v>
          </cell>
          <cell r="K397" t="str">
            <v>ADA-Instrumentos y aparatos de medición, verificación, análisis, de navegación y para otros fines (excepto instrumentos ópticos); instrumentos de control de procesos industriales, sus partes, piezas y accesorios</v>
          </cell>
        </row>
        <row r="398">
          <cell r="A398" t="str">
            <v>02020100400803</v>
          </cell>
          <cell r="B398" t="str">
            <v>02-02-01-004-008-03</v>
          </cell>
          <cell r="C398" t="str">
            <v>02</v>
          </cell>
          <cell r="D398" t="str">
            <v>02</v>
          </cell>
          <cell r="E398" t="str">
            <v>01</v>
          </cell>
          <cell r="F398" t="str">
            <v>004</v>
          </cell>
          <cell r="G398" t="str">
            <v>008</v>
          </cell>
          <cell r="H398" t="str">
            <v>03</v>
          </cell>
          <cell r="K398" t="str">
            <v>ADA-Instrumentos ópticos y equipo fotográfico; partes, piezas y accesorios</v>
          </cell>
        </row>
        <row r="399">
          <cell r="A399" t="str">
            <v>02020100400804</v>
          </cell>
          <cell r="B399" t="str">
            <v>02-02-01-004-008-04</v>
          </cell>
          <cell r="C399" t="str">
            <v>02</v>
          </cell>
          <cell r="D399" t="str">
            <v>02</v>
          </cell>
          <cell r="E399" t="str">
            <v>01</v>
          </cell>
          <cell r="F399" t="str">
            <v>004</v>
          </cell>
          <cell r="G399" t="str">
            <v>008</v>
          </cell>
          <cell r="H399" t="str">
            <v>04</v>
          </cell>
          <cell r="K399" t="str">
            <v>ADA-Relojes y sus partes y piezas</v>
          </cell>
        </row>
        <row r="400">
          <cell r="A400" t="str">
            <v>02020100400901</v>
          </cell>
          <cell r="B400" t="str">
            <v>02-02-01-004-009-01</v>
          </cell>
          <cell r="C400" t="str">
            <v>02</v>
          </cell>
          <cell r="D400" t="str">
            <v>02</v>
          </cell>
          <cell r="E400" t="str">
            <v>01</v>
          </cell>
          <cell r="F400" t="str">
            <v>004</v>
          </cell>
          <cell r="G400" t="str">
            <v>009</v>
          </cell>
          <cell r="H400" t="str">
            <v>01</v>
          </cell>
          <cell r="K400" t="str">
            <v>ADA-Vehículos automotores, remolques y semirremolques; y sus partes, piezas y accesorios</v>
          </cell>
        </row>
        <row r="401">
          <cell r="A401" t="str">
            <v>02020100400902</v>
          </cell>
          <cell r="B401" t="str">
            <v>02-02-01-004-009-02</v>
          </cell>
          <cell r="C401" t="str">
            <v>02</v>
          </cell>
          <cell r="D401" t="str">
            <v>02</v>
          </cell>
          <cell r="E401" t="str">
            <v>01</v>
          </cell>
          <cell r="F401" t="str">
            <v>004</v>
          </cell>
          <cell r="G401" t="str">
            <v>009</v>
          </cell>
          <cell r="H401" t="str">
            <v>02</v>
          </cell>
          <cell r="K401" t="str">
            <v>ADA-Carrocerías (incluso cabinas) para vehículos automotores; remolques y semirremolques; y sus partes, piezas y accesorios</v>
          </cell>
        </row>
        <row r="402">
          <cell r="A402" t="str">
            <v>02020100400903</v>
          </cell>
          <cell r="B402" t="str">
            <v>02-02-01-004-009-03</v>
          </cell>
          <cell r="C402" t="str">
            <v>02</v>
          </cell>
          <cell r="D402" t="str">
            <v>02</v>
          </cell>
          <cell r="E402" t="str">
            <v>01</v>
          </cell>
          <cell r="F402" t="str">
            <v>004</v>
          </cell>
          <cell r="G402" t="str">
            <v>009</v>
          </cell>
          <cell r="H402" t="str">
            <v>03</v>
          </cell>
          <cell r="K402" t="str">
            <v>ADA-Buques</v>
          </cell>
        </row>
        <row r="403">
          <cell r="A403" t="str">
            <v>02020100400904</v>
          </cell>
          <cell r="B403" t="str">
            <v>02-02-01-004-009-04</v>
          </cell>
          <cell r="C403" t="str">
            <v>02</v>
          </cell>
          <cell r="D403" t="str">
            <v>02</v>
          </cell>
          <cell r="E403" t="str">
            <v>01</v>
          </cell>
          <cell r="F403" t="str">
            <v>004</v>
          </cell>
          <cell r="G403" t="str">
            <v>009</v>
          </cell>
          <cell r="H403" t="str">
            <v>04</v>
          </cell>
          <cell r="K403" t="str">
            <v>ADA-Embarcaciones para deportes y recreo</v>
          </cell>
        </row>
        <row r="404">
          <cell r="A404" t="str">
            <v>02020100400905</v>
          </cell>
          <cell r="B404" t="str">
            <v>02-02-01-004-009-05</v>
          </cell>
          <cell r="C404" t="str">
            <v>02</v>
          </cell>
          <cell r="D404" t="str">
            <v>02</v>
          </cell>
          <cell r="E404" t="str">
            <v>01</v>
          </cell>
          <cell r="F404" t="str">
            <v>004</v>
          </cell>
          <cell r="G404" t="str">
            <v>009</v>
          </cell>
          <cell r="H404" t="str">
            <v>05</v>
          </cell>
          <cell r="K404" t="str">
            <v>ADA-Locomotoras y material rodante de ferrocarril y tranvía, y sus partes y piezas</v>
          </cell>
        </row>
        <row r="405">
          <cell r="A405" t="str">
            <v>02020100400906</v>
          </cell>
          <cell r="B405" t="str">
            <v>02-02-01-004-009-06</v>
          </cell>
          <cell r="C405" t="str">
            <v>02</v>
          </cell>
          <cell r="D405" t="str">
            <v>02</v>
          </cell>
          <cell r="E405" t="str">
            <v>01</v>
          </cell>
          <cell r="F405" t="str">
            <v>004</v>
          </cell>
          <cell r="G405" t="str">
            <v>009</v>
          </cell>
          <cell r="H405" t="str">
            <v>06</v>
          </cell>
          <cell r="K405" t="str">
            <v>ADA-Aeronaves y naves espaciales, y sus partes y piezas</v>
          </cell>
        </row>
        <row r="406">
          <cell r="A406" t="str">
            <v>020201004009091</v>
          </cell>
          <cell r="B406" t="str">
            <v>02-02-01-004-009-09-1</v>
          </cell>
          <cell r="C406" t="str">
            <v>02</v>
          </cell>
          <cell r="D406" t="str">
            <v>02</v>
          </cell>
          <cell r="E406" t="str">
            <v>01</v>
          </cell>
          <cell r="F406" t="str">
            <v>004</v>
          </cell>
          <cell r="G406" t="str">
            <v>009</v>
          </cell>
          <cell r="H406" t="str">
            <v>09</v>
          </cell>
          <cell r="I406" t="str">
            <v>1</v>
          </cell>
          <cell r="K406" t="str">
            <v>ADA-Motocicletas y sidecares (vehículos laterales a las motocicletas)</v>
          </cell>
        </row>
        <row r="407">
          <cell r="A407" t="str">
            <v>020201004009092</v>
          </cell>
          <cell r="B407" t="str">
            <v>02-02-01-004-009-09-2</v>
          </cell>
          <cell r="C407" t="str">
            <v>02</v>
          </cell>
          <cell r="D407" t="str">
            <v>02</v>
          </cell>
          <cell r="E407" t="str">
            <v>01</v>
          </cell>
          <cell r="F407" t="str">
            <v>004</v>
          </cell>
          <cell r="G407" t="str">
            <v>009</v>
          </cell>
          <cell r="H407" t="str">
            <v>09</v>
          </cell>
          <cell r="I407" t="str">
            <v>2</v>
          </cell>
          <cell r="K407" t="str">
            <v>ADA-Bicicletas y sillones de ruedas para discapacitados</v>
          </cell>
        </row>
        <row r="408">
          <cell r="A408" t="str">
            <v>020201004009093</v>
          </cell>
          <cell r="B408" t="str">
            <v>02-02-01-004-009-09-3</v>
          </cell>
          <cell r="C408" t="str">
            <v>02</v>
          </cell>
          <cell r="D408" t="str">
            <v>02</v>
          </cell>
          <cell r="E408" t="str">
            <v>01</v>
          </cell>
          <cell r="F408" t="str">
            <v>004</v>
          </cell>
          <cell r="G408" t="str">
            <v>009</v>
          </cell>
          <cell r="H408" t="str">
            <v>09</v>
          </cell>
          <cell r="I408" t="str">
            <v>3</v>
          </cell>
          <cell r="K408" t="str">
            <v>ADA-Vehículos n. C. P. Sin propulsión mecánica</v>
          </cell>
        </row>
        <row r="409">
          <cell r="A409" t="str">
            <v>020201004009094</v>
          </cell>
          <cell r="B409" t="str">
            <v>02-02-01-004-009-09-4</v>
          </cell>
          <cell r="C409" t="str">
            <v>02</v>
          </cell>
          <cell r="D409" t="str">
            <v>02</v>
          </cell>
          <cell r="E409" t="str">
            <v>01</v>
          </cell>
          <cell r="F409" t="str">
            <v>004</v>
          </cell>
          <cell r="G409" t="str">
            <v>009</v>
          </cell>
          <cell r="H409" t="str">
            <v>09</v>
          </cell>
          <cell r="I409" t="str">
            <v>4</v>
          </cell>
          <cell r="K409" t="str">
            <v>ADA-Partes y piezas para los productos de las clases 4991 y 4992</v>
          </cell>
        </row>
        <row r="410">
          <cell r="A410" t="str">
            <v>020201004010</v>
          </cell>
          <cell r="B410" t="str">
            <v>02-02-01-004-010</v>
          </cell>
          <cell r="C410" t="str">
            <v>02</v>
          </cell>
          <cell r="D410" t="str">
            <v>02</v>
          </cell>
          <cell r="E410" t="str">
            <v>01</v>
          </cell>
          <cell r="F410" t="str">
            <v>004</v>
          </cell>
          <cell r="G410" t="str">
            <v>010</v>
          </cell>
          <cell r="K410" t="str">
            <v>ADA-Partes piezas y Accesorios de Equipo Militar y Policia</v>
          </cell>
        </row>
        <row r="411">
          <cell r="A411" t="str">
            <v>020201010001</v>
          </cell>
          <cell r="B411" t="str">
            <v>02-02-01-010-001</v>
          </cell>
          <cell r="C411" t="str">
            <v>02</v>
          </cell>
          <cell r="D411" t="str">
            <v>02</v>
          </cell>
          <cell r="E411" t="str">
            <v>01</v>
          </cell>
          <cell r="F411" t="str">
            <v>010</v>
          </cell>
          <cell r="G411" t="str">
            <v>001</v>
          </cell>
          <cell r="K411" t="str">
            <v>ADA-Municiones</v>
          </cell>
        </row>
        <row r="412">
          <cell r="A412" t="str">
            <v>020201010002</v>
          </cell>
          <cell r="B412" t="str">
            <v>02-02-01-010-002</v>
          </cell>
          <cell r="C412" t="str">
            <v>02</v>
          </cell>
          <cell r="D412" t="str">
            <v>02</v>
          </cell>
          <cell r="E412" t="str">
            <v>01</v>
          </cell>
          <cell r="F412" t="str">
            <v>010</v>
          </cell>
          <cell r="G412" t="str">
            <v>002</v>
          </cell>
          <cell r="K412" t="str">
            <v>ADA-Misiles</v>
          </cell>
        </row>
        <row r="413">
          <cell r="A413" t="str">
            <v>020201010003</v>
          </cell>
          <cell r="B413" t="str">
            <v>02-02-01-010-003</v>
          </cell>
          <cell r="C413" t="str">
            <v>02</v>
          </cell>
          <cell r="D413" t="str">
            <v>02</v>
          </cell>
          <cell r="E413" t="str">
            <v>01</v>
          </cell>
          <cell r="F413" t="str">
            <v>010</v>
          </cell>
          <cell r="G413" t="str">
            <v>003</v>
          </cell>
          <cell r="K413" t="str">
            <v>ADA-Cohetes</v>
          </cell>
        </row>
        <row r="414">
          <cell r="A414" t="str">
            <v>020201010004</v>
          </cell>
          <cell r="B414" t="str">
            <v>02-02-01-010-004</v>
          </cell>
          <cell r="C414" t="str">
            <v>02</v>
          </cell>
          <cell r="D414" t="str">
            <v>02</v>
          </cell>
          <cell r="E414" t="str">
            <v>01</v>
          </cell>
          <cell r="F414" t="str">
            <v>010</v>
          </cell>
          <cell r="G414" t="str">
            <v>004</v>
          </cell>
          <cell r="K414" t="str">
            <v>ADA-Bombas</v>
          </cell>
        </row>
        <row r="415">
          <cell r="A415" t="str">
            <v>020201010005</v>
          </cell>
          <cell r="B415" t="str">
            <v>02-02-01-010-005</v>
          </cell>
          <cell r="C415" t="str">
            <v>02</v>
          </cell>
          <cell r="D415" t="str">
            <v>02</v>
          </cell>
          <cell r="E415" t="str">
            <v>01</v>
          </cell>
          <cell r="F415" t="str">
            <v>010</v>
          </cell>
          <cell r="G415" t="str">
            <v>005</v>
          </cell>
          <cell r="K415" t="str">
            <v>ADA-Otros elementos militares de un solo uso</v>
          </cell>
        </row>
        <row r="416">
          <cell r="A416" t="str">
            <v>020202005004011</v>
          </cell>
          <cell r="B416" t="str">
            <v>02-02-02-005-004-01-1</v>
          </cell>
          <cell r="C416" t="str">
            <v>02</v>
          </cell>
          <cell r="D416" t="str">
            <v>02</v>
          </cell>
          <cell r="E416" t="str">
            <v>02</v>
          </cell>
          <cell r="F416" t="str">
            <v>005</v>
          </cell>
          <cell r="G416" t="str">
            <v>004</v>
          </cell>
          <cell r="H416" t="str">
            <v>01</v>
          </cell>
          <cell r="I416" t="str">
            <v>1</v>
          </cell>
          <cell r="K416" t="str">
            <v>ADA-Servicios generales de construcción de edificaciones residenciales</v>
          </cell>
        </row>
        <row r="417">
          <cell r="A417" t="str">
            <v>020202005004012</v>
          </cell>
          <cell r="B417" t="str">
            <v>02-02-02-005-004-01-2</v>
          </cell>
          <cell r="C417" t="str">
            <v>02</v>
          </cell>
          <cell r="D417" t="str">
            <v>02</v>
          </cell>
          <cell r="E417" t="str">
            <v>02</v>
          </cell>
          <cell r="F417" t="str">
            <v>005</v>
          </cell>
          <cell r="G417" t="str">
            <v>004</v>
          </cell>
          <cell r="H417" t="str">
            <v>01</v>
          </cell>
          <cell r="I417" t="str">
            <v>2</v>
          </cell>
          <cell r="K417" t="str">
            <v>ADA-Servicios generales de construcción de edificaciones no residenciales</v>
          </cell>
        </row>
        <row r="418">
          <cell r="A418" t="str">
            <v>020202005004021</v>
          </cell>
          <cell r="B418" t="str">
            <v>02-02-02-005-004-02-1</v>
          </cell>
          <cell r="C418" t="str">
            <v>02</v>
          </cell>
          <cell r="D418" t="str">
            <v>02</v>
          </cell>
          <cell r="E418" t="str">
            <v>02</v>
          </cell>
          <cell r="F418" t="str">
            <v>005</v>
          </cell>
          <cell r="G418" t="str">
            <v>004</v>
          </cell>
          <cell r="H418" t="str">
            <v>02</v>
          </cell>
          <cell r="I418" t="str">
            <v>1</v>
          </cell>
          <cell r="K418" t="str">
            <v>ADA-Servicios generales de construcción de carreteras (excepto carreteras elevadas), calles, vías férreas y pistas de aterrizaje</v>
          </cell>
        </row>
        <row r="419">
          <cell r="A419" t="str">
            <v>020202005004022</v>
          </cell>
          <cell r="B419" t="str">
            <v>02-02-02-005-004-02-2</v>
          </cell>
          <cell r="C419" t="str">
            <v>02</v>
          </cell>
          <cell r="D419" t="str">
            <v>02</v>
          </cell>
          <cell r="E419" t="str">
            <v>02</v>
          </cell>
          <cell r="F419" t="str">
            <v>005</v>
          </cell>
          <cell r="G419" t="str">
            <v>004</v>
          </cell>
          <cell r="H419" t="str">
            <v>02</v>
          </cell>
          <cell r="I419" t="str">
            <v>2</v>
          </cell>
          <cell r="K419" t="str">
            <v>ADA-Servicios generales de construcción de puentes, carreteras elevadas y túneles</v>
          </cell>
        </row>
        <row r="420">
          <cell r="A420" t="str">
            <v>020202005004023</v>
          </cell>
          <cell r="B420" t="str">
            <v>02-02-02-005-004-02-3</v>
          </cell>
          <cell r="C420" t="str">
            <v>02</v>
          </cell>
          <cell r="D420" t="str">
            <v>02</v>
          </cell>
          <cell r="E420" t="str">
            <v>02</v>
          </cell>
          <cell r="F420" t="str">
            <v>005</v>
          </cell>
          <cell r="G420" t="str">
            <v>004</v>
          </cell>
          <cell r="H420" t="str">
            <v>02</v>
          </cell>
          <cell r="I420" t="str">
            <v>3</v>
          </cell>
          <cell r="K420" t="str">
            <v>ADA-Servicios generales de construcción de puertos, canales, presas, sistemas de riego y otras obras hidráulicas</v>
          </cell>
        </row>
        <row r="421">
          <cell r="A421" t="str">
            <v>020202005004024</v>
          </cell>
          <cell r="B421" t="str">
            <v>02-02-02-005-004-02-4</v>
          </cell>
          <cell r="C421" t="str">
            <v>02</v>
          </cell>
          <cell r="D421" t="str">
            <v>02</v>
          </cell>
          <cell r="E421" t="str">
            <v>02</v>
          </cell>
          <cell r="F421" t="str">
            <v>005</v>
          </cell>
          <cell r="G421" t="str">
            <v>004</v>
          </cell>
          <cell r="H421" t="str">
            <v>02</v>
          </cell>
          <cell r="I421" t="str">
            <v>4</v>
          </cell>
          <cell r="K421" t="str">
            <v>ADA-Servicios generales de construcción de tuberías para la conducción de gas a larga distancia, líneas de comunicación y cables de poder</v>
          </cell>
        </row>
        <row r="422">
          <cell r="A422" t="str">
            <v>020202005004025</v>
          </cell>
          <cell r="B422" t="str">
            <v>02-02-02-005-004-02-5</v>
          </cell>
          <cell r="C422" t="str">
            <v>02</v>
          </cell>
          <cell r="D422" t="str">
            <v>02</v>
          </cell>
          <cell r="E422" t="str">
            <v>02</v>
          </cell>
          <cell r="F422" t="str">
            <v>005</v>
          </cell>
          <cell r="G422" t="str">
            <v>004</v>
          </cell>
          <cell r="H422" t="str">
            <v>02</v>
          </cell>
          <cell r="I422" t="str">
            <v>5</v>
          </cell>
          <cell r="K422" t="str">
            <v>ADA-Servicios generales de construcción de tuberías y cables locales, y obras conexas</v>
          </cell>
        </row>
        <row r="423">
          <cell r="A423" t="str">
            <v>020202005004026</v>
          </cell>
          <cell r="B423" t="str">
            <v>02-02-02-005-004-02-6</v>
          </cell>
          <cell r="C423" t="str">
            <v>02</v>
          </cell>
          <cell r="D423" t="str">
            <v>02</v>
          </cell>
          <cell r="E423" t="str">
            <v>02</v>
          </cell>
          <cell r="F423" t="str">
            <v>005</v>
          </cell>
          <cell r="G423" t="str">
            <v>004</v>
          </cell>
          <cell r="H423" t="str">
            <v>02</v>
          </cell>
          <cell r="I423" t="str">
            <v>6</v>
          </cell>
          <cell r="K423" t="str">
            <v>ADA-Servicios generales de construcción en minas y plantas industriales</v>
          </cell>
        </row>
        <row r="424">
          <cell r="A424" t="str">
            <v>020202005004027</v>
          </cell>
          <cell r="B424" t="str">
            <v>02-02-02-005-004-02-7</v>
          </cell>
          <cell r="C424" t="str">
            <v>02</v>
          </cell>
          <cell r="D424" t="str">
            <v>02</v>
          </cell>
          <cell r="E424" t="str">
            <v>02</v>
          </cell>
          <cell r="F424" t="str">
            <v>005</v>
          </cell>
          <cell r="G424" t="str">
            <v>004</v>
          </cell>
          <cell r="H424" t="str">
            <v>02</v>
          </cell>
          <cell r="I424" t="str">
            <v>7</v>
          </cell>
          <cell r="K424" t="str">
            <v>ADA-Servicios generales de construcciones deportivas al aire libre</v>
          </cell>
        </row>
        <row r="425">
          <cell r="A425" t="str">
            <v>020202005004029</v>
          </cell>
          <cell r="B425" t="str">
            <v>02-02-02-005-004-02-9</v>
          </cell>
          <cell r="C425" t="str">
            <v>02</v>
          </cell>
          <cell r="D425" t="str">
            <v>02</v>
          </cell>
          <cell r="E425" t="str">
            <v>02</v>
          </cell>
          <cell r="F425" t="str">
            <v>005</v>
          </cell>
          <cell r="G425" t="str">
            <v>004</v>
          </cell>
          <cell r="H425" t="str">
            <v>02</v>
          </cell>
          <cell r="I425" t="str">
            <v>9</v>
          </cell>
          <cell r="K425" t="str">
            <v>ADA-Servicios generales de construcción de otras obras de ingeniería civil</v>
          </cell>
        </row>
        <row r="426">
          <cell r="A426" t="str">
            <v>02020200500403</v>
          </cell>
          <cell r="B426" t="str">
            <v>02-02-02-005-004-03</v>
          </cell>
          <cell r="C426" t="str">
            <v>02</v>
          </cell>
          <cell r="D426" t="str">
            <v>02</v>
          </cell>
          <cell r="E426" t="str">
            <v>02</v>
          </cell>
          <cell r="F426" t="str">
            <v>005</v>
          </cell>
          <cell r="G426" t="str">
            <v>004</v>
          </cell>
          <cell r="H426" t="str">
            <v>03</v>
          </cell>
          <cell r="K426" t="str">
            <v>ADA-Servicios de preparación del terreno</v>
          </cell>
        </row>
        <row r="427">
          <cell r="A427" t="str">
            <v>02020200500404</v>
          </cell>
          <cell r="B427" t="str">
            <v>02-02-02-005-004-04</v>
          </cell>
          <cell r="C427" t="str">
            <v>02</v>
          </cell>
          <cell r="D427" t="str">
            <v>02</v>
          </cell>
          <cell r="E427" t="str">
            <v>02</v>
          </cell>
          <cell r="F427" t="str">
            <v>005</v>
          </cell>
          <cell r="G427" t="str">
            <v>004</v>
          </cell>
          <cell r="H427" t="str">
            <v>04</v>
          </cell>
          <cell r="K427" t="str">
            <v>ADA-Montaje y erección de construcciones prefabricadas</v>
          </cell>
        </row>
        <row r="428">
          <cell r="A428" t="str">
            <v>02020200500405</v>
          </cell>
          <cell r="B428" t="str">
            <v>02-02-02-005-004-05</v>
          </cell>
          <cell r="C428" t="str">
            <v>02</v>
          </cell>
          <cell r="D428" t="str">
            <v>02</v>
          </cell>
          <cell r="E428" t="str">
            <v>02</v>
          </cell>
          <cell r="F428" t="str">
            <v>005</v>
          </cell>
          <cell r="G428" t="str">
            <v>004</v>
          </cell>
          <cell r="H428" t="str">
            <v>05</v>
          </cell>
          <cell r="K428" t="str">
            <v>ADA-Servicios especiales de construcción</v>
          </cell>
        </row>
        <row r="429">
          <cell r="A429" t="str">
            <v>02020200500406</v>
          </cell>
          <cell r="B429" t="str">
            <v>02-02-02-005-004-06</v>
          </cell>
          <cell r="C429" t="str">
            <v>02</v>
          </cell>
          <cell r="D429" t="str">
            <v>02</v>
          </cell>
          <cell r="E429" t="str">
            <v>02</v>
          </cell>
          <cell r="F429" t="str">
            <v>005</v>
          </cell>
          <cell r="G429" t="str">
            <v>004</v>
          </cell>
          <cell r="H429" t="str">
            <v>06</v>
          </cell>
          <cell r="K429" t="str">
            <v>ADA-Servicios de instalaciones</v>
          </cell>
        </row>
        <row r="430">
          <cell r="A430" t="str">
            <v>02020200500407</v>
          </cell>
          <cell r="B430" t="str">
            <v>02-02-02-005-004-07</v>
          </cell>
          <cell r="C430" t="str">
            <v>02</v>
          </cell>
          <cell r="D430" t="str">
            <v>02</v>
          </cell>
          <cell r="E430" t="str">
            <v>02</v>
          </cell>
          <cell r="F430" t="str">
            <v>005</v>
          </cell>
          <cell r="G430" t="str">
            <v>004</v>
          </cell>
          <cell r="H430" t="str">
            <v>07</v>
          </cell>
          <cell r="K430" t="str">
            <v>ADA-Servicios de terminación y acabados de edificios</v>
          </cell>
        </row>
        <row r="431">
          <cell r="A431" t="str">
            <v>02020200600301</v>
          </cell>
          <cell r="B431" t="str">
            <v>02-02-02-006-003-01</v>
          </cell>
          <cell r="C431" t="str">
            <v>02</v>
          </cell>
          <cell r="D431" t="str">
            <v>02</v>
          </cell>
          <cell r="E431" t="str">
            <v>02</v>
          </cell>
          <cell r="F431" t="str">
            <v>006</v>
          </cell>
          <cell r="G431" t="str">
            <v>003</v>
          </cell>
          <cell r="H431" t="str">
            <v>01</v>
          </cell>
          <cell r="K431" t="str">
            <v>ADA-Servicios de alojamiento para estancias cortas</v>
          </cell>
        </row>
        <row r="432">
          <cell r="A432" t="str">
            <v>02020200600302</v>
          </cell>
          <cell r="B432" t="str">
            <v>02-02-02-006-003-02</v>
          </cell>
          <cell r="C432" t="str">
            <v>02</v>
          </cell>
          <cell r="D432" t="str">
            <v>02</v>
          </cell>
          <cell r="E432" t="str">
            <v>02</v>
          </cell>
          <cell r="F432" t="str">
            <v>006</v>
          </cell>
          <cell r="G432" t="str">
            <v>003</v>
          </cell>
          <cell r="H432" t="str">
            <v>02</v>
          </cell>
          <cell r="K432" t="str">
            <v>ADA-Otros servicios de alojamiento</v>
          </cell>
        </row>
        <row r="433">
          <cell r="A433" t="str">
            <v>02020200600303</v>
          </cell>
          <cell r="B433" t="str">
            <v>02-02-02-006-003-03</v>
          </cell>
          <cell r="C433" t="str">
            <v>02</v>
          </cell>
          <cell r="D433" t="str">
            <v>02</v>
          </cell>
          <cell r="E433" t="str">
            <v>02</v>
          </cell>
          <cell r="F433" t="str">
            <v>006</v>
          </cell>
          <cell r="G433" t="str">
            <v>003</v>
          </cell>
          <cell r="H433" t="str">
            <v>03</v>
          </cell>
          <cell r="K433" t="str">
            <v>ADA-Servicios de suministro de comidas</v>
          </cell>
        </row>
        <row r="434">
          <cell r="A434" t="str">
            <v>02020200600304</v>
          </cell>
          <cell r="B434" t="str">
            <v>02-02-02-006-003-04</v>
          </cell>
          <cell r="C434" t="str">
            <v>02</v>
          </cell>
          <cell r="D434" t="str">
            <v>02</v>
          </cell>
          <cell r="E434" t="str">
            <v>02</v>
          </cell>
          <cell r="F434" t="str">
            <v>006</v>
          </cell>
          <cell r="G434" t="str">
            <v>003</v>
          </cell>
          <cell r="H434" t="str">
            <v>04</v>
          </cell>
          <cell r="K434" t="str">
            <v>ADA-Servicios de suministro de bebidas para su consumo dentro del establecimiento</v>
          </cell>
        </row>
        <row r="435">
          <cell r="A435" t="str">
            <v>020202006004</v>
          </cell>
          <cell r="B435" t="str">
            <v>02-02-02-006-004</v>
          </cell>
          <cell r="C435" t="str">
            <v>02</v>
          </cell>
          <cell r="D435" t="str">
            <v>02</v>
          </cell>
          <cell r="E435" t="str">
            <v>02</v>
          </cell>
          <cell r="F435" t="str">
            <v>006</v>
          </cell>
          <cell r="G435" t="str">
            <v>004</v>
          </cell>
          <cell r="K435" t="str">
            <v>ADA-Servicios de transporte de pasajeros</v>
          </cell>
        </row>
        <row r="436">
          <cell r="A436" t="str">
            <v>02020200600501</v>
          </cell>
          <cell r="B436" t="str">
            <v>02-02-02-006-005-01</v>
          </cell>
          <cell r="C436" t="str">
            <v>02</v>
          </cell>
          <cell r="D436" t="str">
            <v>02</v>
          </cell>
          <cell r="E436" t="str">
            <v>02</v>
          </cell>
          <cell r="F436" t="str">
            <v>006</v>
          </cell>
          <cell r="G436" t="str">
            <v>005</v>
          </cell>
          <cell r="H436" t="str">
            <v>01</v>
          </cell>
          <cell r="K436" t="str">
            <v>ADA-Servicios de transporte de carga por vía terrestre</v>
          </cell>
        </row>
        <row r="437">
          <cell r="A437" t="str">
            <v>02020200600502</v>
          </cell>
          <cell r="B437" t="str">
            <v>02-02-02-006-005-02</v>
          </cell>
          <cell r="C437" t="str">
            <v>02</v>
          </cell>
          <cell r="D437" t="str">
            <v>02</v>
          </cell>
          <cell r="E437" t="str">
            <v>02</v>
          </cell>
          <cell r="F437" t="str">
            <v>006</v>
          </cell>
          <cell r="G437" t="str">
            <v>005</v>
          </cell>
          <cell r="H437" t="str">
            <v>02</v>
          </cell>
          <cell r="K437" t="str">
            <v>ADA-Servicios de transporte de carga por vía acuática</v>
          </cell>
        </row>
        <row r="438">
          <cell r="A438" t="str">
            <v>02020200600503</v>
          </cell>
          <cell r="B438" t="str">
            <v>02-02-02-006-005-03</v>
          </cell>
          <cell r="C438" t="str">
            <v>02</v>
          </cell>
          <cell r="D438" t="str">
            <v>02</v>
          </cell>
          <cell r="E438" t="str">
            <v>02</v>
          </cell>
          <cell r="F438" t="str">
            <v>006</v>
          </cell>
          <cell r="G438" t="str">
            <v>005</v>
          </cell>
          <cell r="H438" t="str">
            <v>03</v>
          </cell>
          <cell r="K438" t="str">
            <v>ADA-Servicios de transporte de carga por vía aérea o espacial</v>
          </cell>
        </row>
        <row r="439">
          <cell r="A439" t="str">
            <v>020202006006</v>
          </cell>
          <cell r="B439" t="str">
            <v>02-02-02-006-006</v>
          </cell>
          <cell r="C439" t="str">
            <v>02</v>
          </cell>
          <cell r="D439" t="str">
            <v>02</v>
          </cell>
          <cell r="E439" t="str">
            <v>02</v>
          </cell>
          <cell r="F439" t="str">
            <v>006</v>
          </cell>
          <cell r="G439" t="str">
            <v>006</v>
          </cell>
          <cell r="K439" t="str">
            <v>ADA-Servicios de alquiler de vehículos de transporte con operario</v>
          </cell>
        </row>
        <row r="440">
          <cell r="A440" t="str">
            <v>02020200600701</v>
          </cell>
          <cell r="B440" t="str">
            <v>02-02-02-006-007-01</v>
          </cell>
          <cell r="C440" t="str">
            <v>02</v>
          </cell>
          <cell r="D440" t="str">
            <v>02</v>
          </cell>
          <cell r="E440" t="str">
            <v>02</v>
          </cell>
          <cell r="F440" t="str">
            <v>006</v>
          </cell>
          <cell r="G440" t="str">
            <v>007</v>
          </cell>
          <cell r="H440" t="str">
            <v>01</v>
          </cell>
          <cell r="K440" t="str">
            <v>ADA-Servicios de manipulación de carga</v>
          </cell>
        </row>
        <row r="441">
          <cell r="A441" t="str">
            <v>02020200600702</v>
          </cell>
          <cell r="B441" t="str">
            <v>02-02-02-006-007-02</v>
          </cell>
          <cell r="C441" t="str">
            <v>02</v>
          </cell>
          <cell r="D441" t="str">
            <v>02</v>
          </cell>
          <cell r="E441" t="str">
            <v>02</v>
          </cell>
          <cell r="F441" t="str">
            <v>006</v>
          </cell>
          <cell r="G441" t="str">
            <v>007</v>
          </cell>
          <cell r="H441" t="str">
            <v>02</v>
          </cell>
          <cell r="K441" t="str">
            <v>ADA-Servicios de almacenamiento y depósito</v>
          </cell>
        </row>
        <row r="442">
          <cell r="A442" t="str">
            <v>02020200600703</v>
          </cell>
          <cell r="B442" t="str">
            <v>02-02-02-006-007-03</v>
          </cell>
          <cell r="C442" t="str">
            <v>02</v>
          </cell>
          <cell r="D442" t="str">
            <v>02</v>
          </cell>
          <cell r="E442" t="str">
            <v>02</v>
          </cell>
          <cell r="F442" t="str">
            <v>006</v>
          </cell>
          <cell r="G442" t="str">
            <v>007</v>
          </cell>
          <cell r="H442" t="str">
            <v>03</v>
          </cell>
          <cell r="K442" t="str">
            <v>ADA-Servicios de apoyo al transporte por vía férrea</v>
          </cell>
        </row>
        <row r="443">
          <cell r="A443" t="str">
            <v>02020200600704</v>
          </cell>
          <cell r="B443" t="str">
            <v>02-02-02-006-007-04</v>
          </cell>
          <cell r="C443" t="str">
            <v>02</v>
          </cell>
          <cell r="D443" t="str">
            <v>02</v>
          </cell>
          <cell r="E443" t="str">
            <v>02</v>
          </cell>
          <cell r="F443" t="str">
            <v>006</v>
          </cell>
          <cell r="G443" t="str">
            <v>007</v>
          </cell>
          <cell r="H443" t="str">
            <v>04</v>
          </cell>
          <cell r="K443" t="str">
            <v>ADA-Servicios de apoyo al transporte por carretera</v>
          </cell>
        </row>
        <row r="444">
          <cell r="A444" t="str">
            <v>02020200600705</v>
          </cell>
          <cell r="B444" t="str">
            <v>02-02-02-006-007-05</v>
          </cell>
          <cell r="C444" t="str">
            <v>02</v>
          </cell>
          <cell r="D444" t="str">
            <v>02</v>
          </cell>
          <cell r="E444" t="str">
            <v>02</v>
          </cell>
          <cell r="F444" t="str">
            <v>006</v>
          </cell>
          <cell r="G444" t="str">
            <v>007</v>
          </cell>
          <cell r="H444" t="str">
            <v>05</v>
          </cell>
          <cell r="K444" t="str">
            <v>ADA-Servicios de apoyo al transporte por vía acuática</v>
          </cell>
        </row>
        <row r="445">
          <cell r="A445" t="str">
            <v>02020200600706</v>
          </cell>
          <cell r="B445" t="str">
            <v>02-02-02-006-007-06</v>
          </cell>
          <cell r="C445" t="str">
            <v>02</v>
          </cell>
          <cell r="D445" t="str">
            <v>02</v>
          </cell>
          <cell r="E445" t="str">
            <v>02</v>
          </cell>
          <cell r="F445" t="str">
            <v>006</v>
          </cell>
          <cell r="G445" t="str">
            <v>007</v>
          </cell>
          <cell r="H445" t="str">
            <v>06</v>
          </cell>
          <cell r="K445" t="str">
            <v>ADA-Servicios de apoyo al transporte aéreo</v>
          </cell>
        </row>
        <row r="446">
          <cell r="A446" t="str">
            <v>02020200600709</v>
          </cell>
          <cell r="B446" t="str">
            <v>02-02-02-006-007-09</v>
          </cell>
          <cell r="C446" t="str">
            <v>02</v>
          </cell>
          <cell r="D446" t="str">
            <v>02</v>
          </cell>
          <cell r="E446" t="str">
            <v>02</v>
          </cell>
          <cell r="F446" t="str">
            <v>006</v>
          </cell>
          <cell r="G446" t="str">
            <v>007</v>
          </cell>
          <cell r="H446" t="str">
            <v>09</v>
          </cell>
          <cell r="K446" t="str">
            <v>ADA-Otros servicios de apoyo al transporte</v>
          </cell>
        </row>
        <row r="447">
          <cell r="A447" t="str">
            <v>020202006008</v>
          </cell>
          <cell r="B447" t="str">
            <v>02-02-02-006-008</v>
          </cell>
          <cell r="C447" t="str">
            <v>02</v>
          </cell>
          <cell r="D447" t="str">
            <v>02</v>
          </cell>
          <cell r="E447" t="str">
            <v>02</v>
          </cell>
          <cell r="F447" t="str">
            <v>006</v>
          </cell>
          <cell r="G447" t="str">
            <v>008</v>
          </cell>
          <cell r="K447" t="str">
            <v>ADA-Servicios postales y de mensajería</v>
          </cell>
        </row>
        <row r="448">
          <cell r="A448" t="str">
            <v>02020200600901</v>
          </cell>
          <cell r="B448" t="str">
            <v>02-02-02-006-009-01</v>
          </cell>
          <cell r="C448" t="str">
            <v>02</v>
          </cell>
          <cell r="D448" t="str">
            <v>02</v>
          </cell>
          <cell r="E448" t="str">
            <v>02</v>
          </cell>
          <cell r="F448" t="str">
            <v>006</v>
          </cell>
          <cell r="G448" t="str">
            <v>009</v>
          </cell>
          <cell r="H448" t="str">
            <v>01</v>
          </cell>
          <cell r="K448" t="str">
            <v>ADA-Servicios de distribución de electricidad, y servicios de distribución de gas (por cuenta propia)</v>
          </cell>
        </row>
        <row r="449">
          <cell r="A449" t="str">
            <v>02020200600902</v>
          </cell>
          <cell r="B449" t="str">
            <v>02-02-02-006-009-02</v>
          </cell>
          <cell r="C449" t="str">
            <v>02</v>
          </cell>
          <cell r="D449" t="str">
            <v>02</v>
          </cell>
          <cell r="E449" t="str">
            <v>02</v>
          </cell>
          <cell r="F449" t="str">
            <v>006</v>
          </cell>
          <cell r="G449" t="str">
            <v>009</v>
          </cell>
          <cell r="H449" t="str">
            <v>02</v>
          </cell>
          <cell r="K449" t="str">
            <v>ADA-Servicios de distribución de agua (por cuenta propia)</v>
          </cell>
        </row>
        <row r="450">
          <cell r="A450" t="str">
            <v>020202007001011</v>
          </cell>
          <cell r="B450" t="str">
            <v>02-02-02-007-001-01-1</v>
          </cell>
          <cell r="C450" t="str">
            <v>02</v>
          </cell>
          <cell r="D450" t="str">
            <v>02</v>
          </cell>
          <cell r="E450" t="str">
            <v>02</v>
          </cell>
          <cell r="F450" t="str">
            <v>007</v>
          </cell>
          <cell r="G450" t="str">
            <v>001</v>
          </cell>
          <cell r="H450" t="str">
            <v>01</v>
          </cell>
          <cell r="I450" t="str">
            <v>1</v>
          </cell>
          <cell r="K450" t="str">
            <v>ADA-Servicios financieros, excepto de la banca de inversión, servicios de seguros y servicios de pensiones</v>
          </cell>
        </row>
        <row r="451">
          <cell r="A451" t="str">
            <v>020202007001012</v>
          </cell>
          <cell r="B451" t="str">
            <v>02-02-02-007-001-01-2</v>
          </cell>
          <cell r="C451" t="str">
            <v>02</v>
          </cell>
          <cell r="D451" t="str">
            <v>02</v>
          </cell>
          <cell r="E451" t="str">
            <v>02</v>
          </cell>
          <cell r="F451" t="str">
            <v>007</v>
          </cell>
          <cell r="G451" t="str">
            <v>001</v>
          </cell>
          <cell r="H451" t="str">
            <v>01</v>
          </cell>
          <cell r="I451" t="str">
            <v>2</v>
          </cell>
          <cell r="K451" t="str">
            <v>ADA-Servicios de depósito</v>
          </cell>
        </row>
        <row r="452">
          <cell r="A452" t="str">
            <v>020202007001013</v>
          </cell>
          <cell r="B452" t="str">
            <v>02-02-02-007-001-01-3</v>
          </cell>
          <cell r="C452" t="str">
            <v>02</v>
          </cell>
          <cell r="D452" t="str">
            <v>02</v>
          </cell>
          <cell r="E452" t="str">
            <v>02</v>
          </cell>
          <cell r="F452" t="str">
            <v>007</v>
          </cell>
          <cell r="G452" t="str">
            <v>001</v>
          </cell>
          <cell r="H452" t="str">
            <v>01</v>
          </cell>
          <cell r="I452" t="str">
            <v>3</v>
          </cell>
          <cell r="K452" t="str">
            <v>ADA-Servicios de concesión de crédito</v>
          </cell>
        </row>
        <row r="453">
          <cell r="A453" t="str">
            <v>020202007001014</v>
          </cell>
          <cell r="B453" t="str">
            <v>02-02-02-007-001-01-4</v>
          </cell>
          <cell r="C453" t="str">
            <v>02</v>
          </cell>
          <cell r="D453" t="str">
            <v>02</v>
          </cell>
          <cell r="E453" t="str">
            <v>02</v>
          </cell>
          <cell r="F453" t="str">
            <v>007</v>
          </cell>
          <cell r="G453" t="str">
            <v>001</v>
          </cell>
          <cell r="H453" t="str">
            <v>01</v>
          </cell>
          <cell r="I453" t="str">
            <v>4</v>
          </cell>
          <cell r="K453" t="str">
            <v>ADA-Servicios de leasing (arrendamiento financiero)</v>
          </cell>
        </row>
        <row r="454">
          <cell r="A454" t="str">
            <v>020202007001019</v>
          </cell>
          <cell r="B454" t="str">
            <v>02-02-02-007-001-01-9</v>
          </cell>
          <cell r="C454" t="str">
            <v>02</v>
          </cell>
          <cell r="D454" t="str">
            <v>02</v>
          </cell>
          <cell r="E454" t="str">
            <v>02</v>
          </cell>
          <cell r="F454" t="str">
            <v>007</v>
          </cell>
          <cell r="G454" t="str">
            <v>001</v>
          </cell>
          <cell r="H454" t="str">
            <v>01</v>
          </cell>
          <cell r="I454" t="str">
            <v>9</v>
          </cell>
          <cell r="K454" t="str">
            <v>ADA-Otros servicios financieros, excepto los servicios de la banca de inversión, servicios de seguros y pensiones</v>
          </cell>
        </row>
        <row r="455">
          <cell r="A455" t="str">
            <v>02020200700102</v>
          </cell>
          <cell r="B455" t="str">
            <v>02-02-02-007-001-02</v>
          </cell>
          <cell r="C455" t="str">
            <v>02</v>
          </cell>
          <cell r="D455" t="str">
            <v>02</v>
          </cell>
          <cell r="E455" t="str">
            <v>02</v>
          </cell>
          <cell r="F455" t="str">
            <v>007</v>
          </cell>
          <cell r="G455" t="str">
            <v>001</v>
          </cell>
          <cell r="H455" t="str">
            <v>02</v>
          </cell>
          <cell r="K455" t="str">
            <v>ADA-Servicios de la banca de inversión</v>
          </cell>
        </row>
        <row r="456">
          <cell r="A456" t="str">
            <v>020202007001031</v>
          </cell>
          <cell r="B456" t="str">
            <v>02-02-02-007-001-03-1</v>
          </cell>
          <cell r="C456" t="str">
            <v>02</v>
          </cell>
          <cell r="D456" t="str">
            <v>02</v>
          </cell>
          <cell r="E456" t="str">
            <v>02</v>
          </cell>
          <cell r="F456" t="str">
            <v>007</v>
          </cell>
          <cell r="G456" t="str">
            <v>001</v>
          </cell>
          <cell r="H456" t="str">
            <v>03</v>
          </cell>
          <cell r="I456" t="str">
            <v>1</v>
          </cell>
          <cell r="K456" t="str">
            <v>ADA-Servicios de seguros vida (con exclusión de los servicios de reaseguro)</v>
          </cell>
        </row>
        <row r="457">
          <cell r="A457" t="str">
            <v>020202007001032</v>
          </cell>
          <cell r="B457" t="str">
            <v>02-02-02-007-001-03-2</v>
          </cell>
          <cell r="C457" t="str">
            <v>02</v>
          </cell>
          <cell r="D457" t="str">
            <v>02</v>
          </cell>
          <cell r="E457" t="str">
            <v>02</v>
          </cell>
          <cell r="F457" t="str">
            <v>007</v>
          </cell>
          <cell r="G457" t="str">
            <v>001</v>
          </cell>
          <cell r="H457" t="str">
            <v>03</v>
          </cell>
          <cell r="I457" t="str">
            <v>2</v>
          </cell>
          <cell r="K457" t="str">
            <v>ADA-Servicios de seguros sociales de pensiones</v>
          </cell>
        </row>
        <row r="458">
          <cell r="A458" t="str">
            <v>020202007001033</v>
          </cell>
          <cell r="B458" t="str">
            <v>02-02-02-007-001-03-3</v>
          </cell>
          <cell r="C458" t="str">
            <v>02</v>
          </cell>
          <cell r="D458" t="str">
            <v>02</v>
          </cell>
          <cell r="E458" t="str">
            <v>02</v>
          </cell>
          <cell r="F458" t="str">
            <v>007</v>
          </cell>
          <cell r="G458" t="str">
            <v>001</v>
          </cell>
          <cell r="H458" t="str">
            <v>03</v>
          </cell>
          <cell r="I458" t="str">
            <v>3</v>
          </cell>
          <cell r="K458" t="str">
            <v>ADA-Servicios de seguros sociales de salud y riesgos laborales</v>
          </cell>
        </row>
        <row r="459">
          <cell r="A459" t="str">
            <v>020202007001034</v>
          </cell>
          <cell r="B459" t="str">
            <v>02-02-02-007-001-03-4</v>
          </cell>
          <cell r="C459" t="str">
            <v>02</v>
          </cell>
          <cell r="D459" t="str">
            <v>02</v>
          </cell>
          <cell r="E459" t="str">
            <v>02</v>
          </cell>
          <cell r="F459" t="str">
            <v>007</v>
          </cell>
          <cell r="G459" t="str">
            <v>001</v>
          </cell>
          <cell r="H459" t="str">
            <v>03</v>
          </cell>
          <cell r="I459" t="str">
            <v>4</v>
          </cell>
          <cell r="K459" t="str">
            <v>ADA-Servicios de seguros de salud y de accidentes</v>
          </cell>
        </row>
        <row r="460">
          <cell r="A460" t="str">
            <v>02020200700103501</v>
          </cell>
          <cell r="B460" t="str">
            <v>02-02-02-007-001-03-5-01</v>
          </cell>
          <cell r="C460" t="str">
            <v>02</v>
          </cell>
          <cell r="D460" t="str">
            <v>02</v>
          </cell>
          <cell r="E460" t="str">
            <v>02</v>
          </cell>
          <cell r="F460" t="str">
            <v>007</v>
          </cell>
          <cell r="G460" t="str">
            <v>001</v>
          </cell>
          <cell r="H460" t="str">
            <v>03</v>
          </cell>
          <cell r="I460" t="str">
            <v>5</v>
          </cell>
          <cell r="J460" t="str">
            <v>01</v>
          </cell>
          <cell r="K460" t="str">
            <v>ADA-Servicios de seguros de vehículos automotores</v>
          </cell>
        </row>
        <row r="461">
          <cell r="A461" t="str">
            <v>02020200700103502</v>
          </cell>
          <cell r="B461" t="str">
            <v>02-02-02-007-001-03-5-02</v>
          </cell>
          <cell r="C461" t="str">
            <v>02</v>
          </cell>
          <cell r="D461" t="str">
            <v>02</v>
          </cell>
          <cell r="E461" t="str">
            <v>02</v>
          </cell>
          <cell r="F461" t="str">
            <v>007</v>
          </cell>
          <cell r="G461" t="str">
            <v>001</v>
          </cell>
          <cell r="H461" t="str">
            <v>03</v>
          </cell>
          <cell r="I461" t="str">
            <v>5</v>
          </cell>
          <cell r="J461" t="str">
            <v>02</v>
          </cell>
          <cell r="K461" t="str">
            <v>ADA-Servicios de seguros de transporte marítimo, de aviación y otros medios de transporte</v>
          </cell>
        </row>
        <row r="462">
          <cell r="A462" t="str">
            <v>02020200700103503</v>
          </cell>
          <cell r="B462" t="str">
            <v>02-02-02-007-001-03-5-03</v>
          </cell>
          <cell r="C462" t="str">
            <v>02</v>
          </cell>
          <cell r="D462" t="str">
            <v>02</v>
          </cell>
          <cell r="E462" t="str">
            <v>02</v>
          </cell>
          <cell r="F462" t="str">
            <v>007</v>
          </cell>
          <cell r="G462" t="str">
            <v>001</v>
          </cell>
          <cell r="H462" t="str">
            <v>03</v>
          </cell>
          <cell r="I462" t="str">
            <v>5</v>
          </cell>
          <cell r="J462" t="str">
            <v>03</v>
          </cell>
          <cell r="K462" t="str">
            <v>ADA-Servicios de seguros para transporte de mercancías (fletes)</v>
          </cell>
        </row>
        <row r="463">
          <cell r="A463" t="str">
            <v>02020200700103504</v>
          </cell>
          <cell r="B463" t="str">
            <v>02-02-02-007-001-03-5-04</v>
          </cell>
          <cell r="C463" t="str">
            <v>02</v>
          </cell>
          <cell r="D463" t="str">
            <v>02</v>
          </cell>
          <cell r="E463" t="str">
            <v>02</v>
          </cell>
          <cell r="F463" t="str">
            <v>007</v>
          </cell>
          <cell r="G463" t="str">
            <v>001</v>
          </cell>
          <cell r="H463" t="str">
            <v>03</v>
          </cell>
          <cell r="I463" t="str">
            <v>5</v>
          </cell>
          <cell r="J463" t="str">
            <v>04</v>
          </cell>
          <cell r="K463" t="str">
            <v>ADA-Servicios de seguros contra incendio, terremoto o sustracción</v>
          </cell>
        </row>
        <row r="464">
          <cell r="A464" t="str">
            <v>02020200700103505</v>
          </cell>
          <cell r="B464" t="str">
            <v>02-02-02-007-001-03-5-05</v>
          </cell>
          <cell r="C464" t="str">
            <v>02</v>
          </cell>
          <cell r="D464" t="str">
            <v>02</v>
          </cell>
          <cell r="E464" t="str">
            <v>02</v>
          </cell>
          <cell r="F464" t="str">
            <v>007</v>
          </cell>
          <cell r="G464" t="str">
            <v>001</v>
          </cell>
          <cell r="H464" t="str">
            <v>03</v>
          </cell>
          <cell r="I464" t="str">
            <v>5</v>
          </cell>
          <cell r="J464" t="str">
            <v>05</v>
          </cell>
          <cell r="K464" t="str">
            <v>ADA-Servicios de seguros generales de responsabilidad civil</v>
          </cell>
        </row>
        <row r="465">
          <cell r="A465" t="str">
            <v>02020200700103506</v>
          </cell>
          <cell r="B465" t="str">
            <v>02-02-02-007-001-03-5-06</v>
          </cell>
          <cell r="C465" t="str">
            <v>02</v>
          </cell>
          <cell r="D465" t="str">
            <v>02</v>
          </cell>
          <cell r="E465" t="str">
            <v>02</v>
          </cell>
          <cell r="F465" t="str">
            <v>007</v>
          </cell>
          <cell r="G465" t="str">
            <v>001</v>
          </cell>
          <cell r="H465" t="str">
            <v>03</v>
          </cell>
          <cell r="I465" t="str">
            <v>5</v>
          </cell>
          <cell r="J465" t="str">
            <v>06</v>
          </cell>
          <cell r="K465" t="str">
            <v>ADA-Servicios de seguro de cumplimiento</v>
          </cell>
        </row>
        <row r="466">
          <cell r="A466" t="str">
            <v>02020200700103507</v>
          </cell>
          <cell r="B466" t="str">
            <v>02-02-02-007-001-03-5-07</v>
          </cell>
          <cell r="C466" t="str">
            <v>02</v>
          </cell>
          <cell r="D466" t="str">
            <v>02</v>
          </cell>
          <cell r="E466" t="str">
            <v>02</v>
          </cell>
          <cell r="F466" t="str">
            <v>007</v>
          </cell>
          <cell r="G466" t="str">
            <v>001</v>
          </cell>
          <cell r="H466" t="str">
            <v>03</v>
          </cell>
          <cell r="I466" t="str">
            <v>5</v>
          </cell>
          <cell r="J466" t="str">
            <v>07</v>
          </cell>
          <cell r="K466" t="str">
            <v>ADA-Servicios de seguro obligatorio de accidentes de tránsito (soat)</v>
          </cell>
        </row>
        <row r="467">
          <cell r="A467" t="str">
            <v>02020200700103508</v>
          </cell>
          <cell r="B467" t="str">
            <v>02-02-02-007-001-03-5-08</v>
          </cell>
          <cell r="C467" t="str">
            <v>02</v>
          </cell>
          <cell r="D467" t="str">
            <v>02</v>
          </cell>
          <cell r="E467" t="str">
            <v>02</v>
          </cell>
          <cell r="F467" t="str">
            <v>007</v>
          </cell>
          <cell r="G467" t="str">
            <v>001</v>
          </cell>
          <cell r="H467" t="str">
            <v>03</v>
          </cell>
          <cell r="I467" t="str">
            <v>5</v>
          </cell>
          <cell r="J467" t="str">
            <v>08</v>
          </cell>
          <cell r="K467" t="str">
            <v>ADA-Servicios de seguros de viaje</v>
          </cell>
        </row>
        <row r="468">
          <cell r="A468" t="str">
            <v>02020200700103509</v>
          </cell>
          <cell r="B468" t="str">
            <v>02-02-02-007-001-03-5-09</v>
          </cell>
          <cell r="C468" t="str">
            <v>02</v>
          </cell>
          <cell r="D468" t="str">
            <v>02</v>
          </cell>
          <cell r="E468" t="str">
            <v>02</v>
          </cell>
          <cell r="F468" t="str">
            <v>007</v>
          </cell>
          <cell r="G468" t="str">
            <v>001</v>
          </cell>
          <cell r="H468" t="str">
            <v>03</v>
          </cell>
          <cell r="I468" t="str">
            <v>5</v>
          </cell>
          <cell r="J468" t="str">
            <v>09</v>
          </cell>
          <cell r="K468" t="str">
            <v>ADA-Otros servicios de seguros distintos de los seguros de vida n. C. P.</v>
          </cell>
        </row>
        <row r="469">
          <cell r="A469" t="str">
            <v>02020200700103510</v>
          </cell>
          <cell r="B469" t="str">
            <v>02-02-02-007-001-03-5-10</v>
          </cell>
          <cell r="C469" t="str">
            <v>02</v>
          </cell>
          <cell r="D469" t="str">
            <v>02</v>
          </cell>
          <cell r="E469" t="str">
            <v>02</v>
          </cell>
          <cell r="F469" t="str">
            <v>007</v>
          </cell>
          <cell r="G469" t="str">
            <v>001</v>
          </cell>
          <cell r="H469" t="str">
            <v>03</v>
          </cell>
          <cell r="I469" t="str">
            <v>5</v>
          </cell>
          <cell r="J469" t="str">
            <v>10</v>
          </cell>
          <cell r="K469" t="str">
            <v>ADA-Seguro de infidelidad y riesgos financieros</v>
          </cell>
        </row>
        <row r="470">
          <cell r="A470" t="str">
            <v>02020200700103511</v>
          </cell>
          <cell r="B470" t="str">
            <v>02-02-02-007-001-03-5-11</v>
          </cell>
          <cell r="C470" t="str">
            <v>02</v>
          </cell>
          <cell r="D470" t="str">
            <v>02</v>
          </cell>
          <cell r="E470" t="str">
            <v>02</v>
          </cell>
          <cell r="F470" t="str">
            <v>007</v>
          </cell>
          <cell r="G470" t="str">
            <v>001</v>
          </cell>
          <cell r="H470" t="str">
            <v>03</v>
          </cell>
          <cell r="I470" t="str">
            <v>5</v>
          </cell>
          <cell r="J470" t="str">
            <v>11</v>
          </cell>
          <cell r="K470" t="str">
            <v>ADA-Seguros equipos eléctricos</v>
          </cell>
        </row>
        <row r="471">
          <cell r="A471" t="str">
            <v>020202007001036</v>
          </cell>
          <cell r="B471" t="str">
            <v>02-02-02-007-001-03-6</v>
          </cell>
          <cell r="C471" t="str">
            <v>02</v>
          </cell>
          <cell r="D471" t="str">
            <v>02</v>
          </cell>
          <cell r="E471" t="str">
            <v>02</v>
          </cell>
          <cell r="F471" t="str">
            <v>007</v>
          </cell>
          <cell r="G471" t="str">
            <v>001</v>
          </cell>
          <cell r="H471" t="str">
            <v>03</v>
          </cell>
          <cell r="I471" t="str">
            <v>6</v>
          </cell>
          <cell r="K471" t="str">
            <v>ADA-Servicios de las sociedades de capitalización</v>
          </cell>
        </row>
        <row r="472">
          <cell r="A472" t="str">
            <v>02020200700104</v>
          </cell>
          <cell r="B472" t="str">
            <v>02-02-02-007-001-04</v>
          </cell>
          <cell r="C472" t="str">
            <v>02</v>
          </cell>
          <cell r="D472" t="str">
            <v>02</v>
          </cell>
          <cell r="E472" t="str">
            <v>02</v>
          </cell>
          <cell r="F472" t="str">
            <v>007</v>
          </cell>
          <cell r="G472" t="str">
            <v>001</v>
          </cell>
          <cell r="H472" t="str">
            <v>04</v>
          </cell>
          <cell r="K472" t="str">
            <v>ADA-Servicios de reaseguro</v>
          </cell>
        </row>
        <row r="473">
          <cell r="A473" t="str">
            <v>020202007001051</v>
          </cell>
          <cell r="B473" t="str">
            <v>02-02-02-007-001-05-1</v>
          </cell>
          <cell r="C473" t="str">
            <v>02</v>
          </cell>
          <cell r="D473" t="str">
            <v>02</v>
          </cell>
          <cell r="E473" t="str">
            <v>02</v>
          </cell>
          <cell r="F473" t="str">
            <v>007</v>
          </cell>
          <cell r="G473" t="str">
            <v>001</v>
          </cell>
          <cell r="H473" t="str">
            <v>05</v>
          </cell>
          <cell r="I473" t="str">
            <v>1</v>
          </cell>
          <cell r="K473" t="str">
            <v>ADA-Servicios relacionados con la banca de inversión</v>
          </cell>
        </row>
        <row r="474">
          <cell r="A474" t="str">
            <v>020202007001052</v>
          </cell>
          <cell r="B474" t="str">
            <v>02-02-02-007-001-05-2</v>
          </cell>
          <cell r="C474" t="str">
            <v>02</v>
          </cell>
          <cell r="D474" t="str">
            <v>02</v>
          </cell>
          <cell r="E474" t="str">
            <v>02</v>
          </cell>
          <cell r="F474" t="str">
            <v>007</v>
          </cell>
          <cell r="G474" t="str">
            <v>001</v>
          </cell>
          <cell r="H474" t="str">
            <v>05</v>
          </cell>
          <cell r="I474" t="str">
            <v>2</v>
          </cell>
          <cell r="K474" t="str">
            <v>ADA-Servicios de corretaje relacionados con los productos de valores</v>
          </cell>
        </row>
        <row r="475">
          <cell r="A475" t="str">
            <v>020202007001053</v>
          </cell>
          <cell r="B475" t="str">
            <v>02-02-02-007-001-05-3</v>
          </cell>
          <cell r="C475" t="str">
            <v>02</v>
          </cell>
          <cell r="D475" t="str">
            <v>02</v>
          </cell>
          <cell r="E475" t="str">
            <v>02</v>
          </cell>
          <cell r="F475" t="str">
            <v>007</v>
          </cell>
          <cell r="G475" t="str">
            <v>001</v>
          </cell>
          <cell r="H475" t="str">
            <v>05</v>
          </cell>
          <cell r="I475" t="str">
            <v>3</v>
          </cell>
          <cell r="K475" t="str">
            <v>ADA-Servicios de administración de carteras, excepto los fondos de pensiones y cesantías</v>
          </cell>
        </row>
        <row r="476">
          <cell r="A476" t="str">
            <v>020202007001054</v>
          </cell>
          <cell r="B476" t="str">
            <v>02-02-02-007-001-05-4</v>
          </cell>
          <cell r="C476" t="str">
            <v>02</v>
          </cell>
          <cell r="D476" t="str">
            <v>02</v>
          </cell>
          <cell r="E476" t="str">
            <v>02</v>
          </cell>
          <cell r="F476" t="str">
            <v>007</v>
          </cell>
          <cell r="G476" t="str">
            <v>001</v>
          </cell>
          <cell r="H476" t="str">
            <v>05</v>
          </cell>
          <cell r="I476" t="str">
            <v>4</v>
          </cell>
          <cell r="K476" t="str">
            <v>ADA-Servicios fiduciarios y de custodia</v>
          </cell>
        </row>
        <row r="477">
          <cell r="A477" t="str">
            <v>020202007001055</v>
          </cell>
          <cell r="B477" t="str">
            <v>02-02-02-007-001-05-5</v>
          </cell>
          <cell r="C477" t="str">
            <v>02</v>
          </cell>
          <cell r="D477" t="str">
            <v>02</v>
          </cell>
          <cell r="E477" t="str">
            <v>02</v>
          </cell>
          <cell r="F477" t="str">
            <v>007</v>
          </cell>
          <cell r="G477" t="str">
            <v>001</v>
          </cell>
          <cell r="H477" t="str">
            <v>05</v>
          </cell>
          <cell r="I477" t="str">
            <v>5</v>
          </cell>
          <cell r="K477" t="str">
            <v>ADA-Servicios relacionados con la administración de los mercados financieros</v>
          </cell>
        </row>
        <row r="478">
          <cell r="A478" t="str">
            <v>020202007001059</v>
          </cell>
          <cell r="B478" t="str">
            <v>02-02-02-007-001-05-9</v>
          </cell>
          <cell r="C478" t="str">
            <v>02</v>
          </cell>
          <cell r="D478" t="str">
            <v>02</v>
          </cell>
          <cell r="E478" t="str">
            <v>02</v>
          </cell>
          <cell r="F478" t="str">
            <v>007</v>
          </cell>
          <cell r="G478" t="str">
            <v>001</v>
          </cell>
          <cell r="H478" t="str">
            <v>05</v>
          </cell>
          <cell r="I478" t="str">
            <v>9</v>
          </cell>
          <cell r="K478" t="str">
            <v>ADA-Otros servicios auxiliares a los servicios financieros</v>
          </cell>
        </row>
        <row r="479">
          <cell r="A479" t="str">
            <v>020202007001061</v>
          </cell>
          <cell r="B479" t="str">
            <v>02-02-02-007-001-06-1</v>
          </cell>
          <cell r="C479" t="str">
            <v>02</v>
          </cell>
          <cell r="D479" t="str">
            <v>02</v>
          </cell>
          <cell r="E479" t="str">
            <v>02</v>
          </cell>
          <cell r="F479" t="str">
            <v>007</v>
          </cell>
          <cell r="G479" t="str">
            <v>001</v>
          </cell>
          <cell r="H479" t="str">
            <v>06</v>
          </cell>
          <cell r="I479" t="str">
            <v>1</v>
          </cell>
          <cell r="K479" t="str">
            <v>ADA-Servicios de corretaje y agencias de seguros</v>
          </cell>
        </row>
        <row r="480">
          <cell r="A480" t="str">
            <v>020202007001062</v>
          </cell>
          <cell r="B480" t="str">
            <v>02-02-02-007-001-06-2</v>
          </cell>
          <cell r="C480" t="str">
            <v>02</v>
          </cell>
          <cell r="D480" t="str">
            <v>02</v>
          </cell>
          <cell r="E480" t="str">
            <v>02</v>
          </cell>
          <cell r="F480" t="str">
            <v>007</v>
          </cell>
          <cell r="G480" t="str">
            <v>001</v>
          </cell>
          <cell r="H480" t="str">
            <v>06</v>
          </cell>
          <cell r="I480" t="str">
            <v>2</v>
          </cell>
          <cell r="K480" t="str">
            <v>ADA-Servicios de tasación de las reclamaciones al seguro</v>
          </cell>
        </row>
        <row r="481">
          <cell r="A481" t="str">
            <v>020202007001063</v>
          </cell>
          <cell r="B481" t="str">
            <v>02-02-02-007-001-06-3</v>
          </cell>
          <cell r="C481" t="str">
            <v>02</v>
          </cell>
          <cell r="D481" t="str">
            <v>02</v>
          </cell>
          <cell r="E481" t="str">
            <v>02</v>
          </cell>
          <cell r="F481" t="str">
            <v>007</v>
          </cell>
          <cell r="G481" t="str">
            <v>001</v>
          </cell>
          <cell r="H481" t="str">
            <v>06</v>
          </cell>
          <cell r="I481" t="str">
            <v>3</v>
          </cell>
          <cell r="K481" t="str">
            <v>ADA-Servicios actuariales</v>
          </cell>
        </row>
        <row r="482">
          <cell r="A482" t="str">
            <v>020202007001064</v>
          </cell>
          <cell r="B482" t="str">
            <v>02-02-02-007-001-06-4</v>
          </cell>
          <cell r="C482" t="str">
            <v>02</v>
          </cell>
          <cell r="D482" t="str">
            <v>02</v>
          </cell>
          <cell r="E482" t="str">
            <v>02</v>
          </cell>
          <cell r="F482" t="str">
            <v>007</v>
          </cell>
          <cell r="G482" t="str">
            <v>001</v>
          </cell>
          <cell r="H482" t="str">
            <v>06</v>
          </cell>
          <cell r="I482" t="str">
            <v>4</v>
          </cell>
          <cell r="K482" t="str">
            <v>ADA-Servicios de administración de fondos de pensiones y cesantías</v>
          </cell>
        </row>
        <row r="483">
          <cell r="A483" t="str">
            <v>020202007001069</v>
          </cell>
          <cell r="B483" t="str">
            <v>02-02-02-007-001-06-9</v>
          </cell>
          <cell r="C483" t="str">
            <v>02</v>
          </cell>
          <cell r="D483" t="str">
            <v>02</v>
          </cell>
          <cell r="E483" t="str">
            <v>02</v>
          </cell>
          <cell r="F483" t="str">
            <v>007</v>
          </cell>
          <cell r="G483" t="str">
            <v>001</v>
          </cell>
          <cell r="H483" t="str">
            <v>06</v>
          </cell>
          <cell r="I483" t="str">
            <v>9</v>
          </cell>
          <cell r="K483" t="str">
            <v>ADA-Otros servicios auxiliares de seguros, pensiones y cesantías</v>
          </cell>
        </row>
        <row r="484">
          <cell r="A484" t="str">
            <v>02020200700107</v>
          </cell>
          <cell r="B484" t="str">
            <v>02-02-02-007-001-07</v>
          </cell>
          <cell r="C484" t="str">
            <v>02</v>
          </cell>
          <cell r="D484" t="str">
            <v>02</v>
          </cell>
          <cell r="E484" t="str">
            <v>02</v>
          </cell>
          <cell r="F484" t="str">
            <v>007</v>
          </cell>
          <cell r="G484" t="str">
            <v>001</v>
          </cell>
          <cell r="H484" t="str">
            <v>07</v>
          </cell>
          <cell r="K484" t="str">
            <v>ADA-Servicios de mantenimiento de activos financieros</v>
          </cell>
        </row>
        <row r="485">
          <cell r="A485" t="str">
            <v>020202007002011</v>
          </cell>
          <cell r="B485" t="str">
            <v>02-02-02-007-002-01-1</v>
          </cell>
          <cell r="C485" t="str">
            <v>02</v>
          </cell>
          <cell r="D485" t="str">
            <v>02</v>
          </cell>
          <cell r="E485" t="str">
            <v>02</v>
          </cell>
          <cell r="F485" t="str">
            <v>007</v>
          </cell>
          <cell r="G485" t="str">
            <v>002</v>
          </cell>
          <cell r="H485" t="str">
            <v>01</v>
          </cell>
          <cell r="I485" t="str">
            <v>1</v>
          </cell>
          <cell r="K485" t="str">
            <v>ADA-Servicios de alquiler o arrendamiento con o sin opción de compra relativos a bienes inmuebles propios o arrendados</v>
          </cell>
        </row>
        <row r="486">
          <cell r="A486" t="str">
            <v>020202007002012</v>
          </cell>
          <cell r="B486" t="str">
            <v>02-02-02-007-002-01-2</v>
          </cell>
          <cell r="C486" t="str">
            <v>02</v>
          </cell>
          <cell r="D486" t="str">
            <v>02</v>
          </cell>
          <cell r="E486" t="str">
            <v>02</v>
          </cell>
          <cell r="F486" t="str">
            <v>007</v>
          </cell>
          <cell r="G486" t="str">
            <v>002</v>
          </cell>
          <cell r="H486" t="str">
            <v>01</v>
          </cell>
          <cell r="I486" t="str">
            <v>2</v>
          </cell>
          <cell r="K486" t="str">
            <v>ADA-Venta de bienes inmuebles</v>
          </cell>
        </row>
        <row r="487">
          <cell r="A487" t="str">
            <v>020202007002013</v>
          </cell>
          <cell r="B487" t="str">
            <v>02-02-02-007-002-01-3</v>
          </cell>
          <cell r="C487" t="str">
            <v>02</v>
          </cell>
          <cell r="D487" t="str">
            <v>02</v>
          </cell>
          <cell r="E487" t="str">
            <v>02</v>
          </cell>
          <cell r="F487" t="str">
            <v>007</v>
          </cell>
          <cell r="G487" t="str">
            <v>002</v>
          </cell>
          <cell r="H487" t="str">
            <v>01</v>
          </cell>
          <cell r="I487" t="str">
            <v>3</v>
          </cell>
          <cell r="K487" t="str">
            <v>ADA-Servicios comerciales relacionados con terrenos desocupados y subdivididos</v>
          </cell>
        </row>
        <row r="488">
          <cell r="A488" t="str">
            <v>020202007002021</v>
          </cell>
          <cell r="B488" t="str">
            <v>02-02-02-007-002-02-1</v>
          </cell>
          <cell r="C488" t="str">
            <v>02</v>
          </cell>
          <cell r="D488" t="str">
            <v>02</v>
          </cell>
          <cell r="E488" t="str">
            <v>02</v>
          </cell>
          <cell r="F488" t="str">
            <v>007</v>
          </cell>
          <cell r="G488" t="str">
            <v>002</v>
          </cell>
          <cell r="H488" t="str">
            <v>02</v>
          </cell>
          <cell r="I488" t="str">
            <v>1</v>
          </cell>
          <cell r="K488" t="str">
            <v>ADA-Servicios de administración de bienes inmuebles a comisión o por contrato</v>
          </cell>
        </row>
        <row r="489">
          <cell r="A489" t="str">
            <v>020202007002022</v>
          </cell>
          <cell r="B489" t="str">
            <v>02-02-02-007-002-02-2</v>
          </cell>
          <cell r="C489" t="str">
            <v>02</v>
          </cell>
          <cell r="D489" t="str">
            <v>02</v>
          </cell>
          <cell r="E489" t="str">
            <v>02</v>
          </cell>
          <cell r="F489" t="str">
            <v>007</v>
          </cell>
          <cell r="G489" t="str">
            <v>002</v>
          </cell>
          <cell r="H489" t="str">
            <v>02</v>
          </cell>
          <cell r="I489" t="str">
            <v>2</v>
          </cell>
          <cell r="K489" t="str">
            <v>ADA-Servicio de arrendamiento de bienes inmuebles a comisión o por contrata</v>
          </cell>
        </row>
        <row r="490">
          <cell r="A490" t="str">
            <v>020202007002023</v>
          </cell>
          <cell r="B490" t="str">
            <v>02-02-02-007-002-02-3</v>
          </cell>
          <cell r="C490" t="str">
            <v>02</v>
          </cell>
          <cell r="D490" t="str">
            <v>02</v>
          </cell>
          <cell r="E490" t="str">
            <v>02</v>
          </cell>
          <cell r="F490" t="str">
            <v>007</v>
          </cell>
          <cell r="G490" t="str">
            <v>002</v>
          </cell>
          <cell r="H490" t="str">
            <v>02</v>
          </cell>
          <cell r="I490" t="str">
            <v>3</v>
          </cell>
          <cell r="K490" t="str">
            <v>ADA-Servicio de venta de bienes inmuebles a comisión o por contrata</v>
          </cell>
        </row>
        <row r="491">
          <cell r="A491" t="str">
            <v>020202007002024</v>
          </cell>
          <cell r="B491" t="str">
            <v>02-02-02-007-002-02-4</v>
          </cell>
          <cell r="C491" t="str">
            <v>02</v>
          </cell>
          <cell r="D491" t="str">
            <v>02</v>
          </cell>
          <cell r="E491" t="str">
            <v>02</v>
          </cell>
          <cell r="F491" t="str">
            <v>007</v>
          </cell>
          <cell r="G491" t="str">
            <v>002</v>
          </cell>
          <cell r="H491" t="str">
            <v>02</v>
          </cell>
          <cell r="I491" t="str">
            <v>4</v>
          </cell>
          <cell r="K491" t="str">
            <v>ADA-Servicios de venta de terrenos a comisión o por contrato</v>
          </cell>
        </row>
        <row r="492">
          <cell r="A492" t="str">
            <v>020202007002025</v>
          </cell>
          <cell r="B492" t="str">
            <v>02-02-02-007-002-02-5</v>
          </cell>
          <cell r="C492" t="str">
            <v>02</v>
          </cell>
          <cell r="D492" t="str">
            <v>02</v>
          </cell>
          <cell r="E492" t="str">
            <v>02</v>
          </cell>
          <cell r="F492" t="str">
            <v>007</v>
          </cell>
          <cell r="G492" t="str">
            <v>002</v>
          </cell>
          <cell r="H492" t="str">
            <v>02</v>
          </cell>
          <cell r="I492" t="str">
            <v>5</v>
          </cell>
          <cell r="K492" t="str">
            <v>ADA-Valuaciones inmobiliarias a comisión o por contrato</v>
          </cell>
        </row>
        <row r="493">
          <cell r="A493" t="str">
            <v>02020200700301</v>
          </cell>
          <cell r="B493" t="str">
            <v>02-02-02-007-003-01</v>
          </cell>
          <cell r="C493" t="str">
            <v>02</v>
          </cell>
          <cell r="D493" t="str">
            <v>02</v>
          </cell>
          <cell r="E493" t="str">
            <v>02</v>
          </cell>
          <cell r="F493" t="str">
            <v>007</v>
          </cell>
          <cell r="G493" t="str">
            <v>003</v>
          </cell>
          <cell r="H493" t="str">
            <v>01</v>
          </cell>
          <cell r="K493" t="str">
            <v>ADA-Servicios de arrendamiento o alquiler de maquinaria y equipo sin operario</v>
          </cell>
        </row>
        <row r="494">
          <cell r="A494" t="str">
            <v>02020200700302</v>
          </cell>
          <cell r="B494" t="str">
            <v>02-02-02-007-003-02</v>
          </cell>
          <cell r="C494" t="str">
            <v>02</v>
          </cell>
          <cell r="D494" t="str">
            <v>02</v>
          </cell>
          <cell r="E494" t="str">
            <v>02</v>
          </cell>
          <cell r="F494" t="str">
            <v>007</v>
          </cell>
          <cell r="G494" t="str">
            <v>003</v>
          </cell>
          <cell r="H494" t="str">
            <v>02</v>
          </cell>
          <cell r="K494" t="str">
            <v>ADA-Servicios de arrendamiento sin opción de compra de otros bienes</v>
          </cell>
        </row>
        <row r="495">
          <cell r="A495" t="str">
            <v>02020200700303</v>
          </cell>
          <cell r="B495" t="str">
            <v>02-02-02-007-003-03</v>
          </cell>
          <cell r="C495" t="str">
            <v>02</v>
          </cell>
          <cell r="D495" t="str">
            <v>02</v>
          </cell>
          <cell r="E495" t="str">
            <v>02</v>
          </cell>
          <cell r="F495" t="str">
            <v>007</v>
          </cell>
          <cell r="G495" t="str">
            <v>003</v>
          </cell>
          <cell r="H495" t="str">
            <v>03</v>
          </cell>
          <cell r="K495" t="str">
            <v>ADA-Derechos de uso de productos de propiedad intelectual y otros productos similares</v>
          </cell>
        </row>
        <row r="496">
          <cell r="A496" t="str">
            <v>02020200800101</v>
          </cell>
          <cell r="B496" t="str">
            <v>02-02-02-008-001-01</v>
          </cell>
          <cell r="C496" t="str">
            <v>02</v>
          </cell>
          <cell r="D496" t="str">
            <v>02</v>
          </cell>
          <cell r="E496" t="str">
            <v>02</v>
          </cell>
          <cell r="F496" t="str">
            <v>008</v>
          </cell>
          <cell r="G496" t="str">
            <v>001</v>
          </cell>
          <cell r="H496" t="str">
            <v>01</v>
          </cell>
          <cell r="K496" t="str">
            <v>ADA-Servicios de investigación y desarrollo experimental en ciencias naturales e ingeniería</v>
          </cell>
        </row>
        <row r="497">
          <cell r="A497" t="str">
            <v>02020200800102</v>
          </cell>
          <cell r="B497" t="str">
            <v>02-02-02-008-001-02</v>
          </cell>
          <cell r="C497" t="str">
            <v>02</v>
          </cell>
          <cell r="D497" t="str">
            <v>02</v>
          </cell>
          <cell r="E497" t="str">
            <v>02</v>
          </cell>
          <cell r="F497" t="str">
            <v>008</v>
          </cell>
          <cell r="G497" t="str">
            <v>001</v>
          </cell>
          <cell r="H497" t="str">
            <v>02</v>
          </cell>
          <cell r="K497" t="str">
            <v>ADA-Servicios de investigación y desarrollo experimental en ciencias sociales y humanidades</v>
          </cell>
        </row>
        <row r="498">
          <cell r="A498" t="str">
            <v>02020200800103</v>
          </cell>
          <cell r="B498" t="str">
            <v>02-02-02-008-001-03</v>
          </cell>
          <cell r="C498" t="str">
            <v>02</v>
          </cell>
          <cell r="D498" t="str">
            <v>02</v>
          </cell>
          <cell r="E498" t="str">
            <v>02</v>
          </cell>
          <cell r="F498" t="str">
            <v>008</v>
          </cell>
          <cell r="G498" t="str">
            <v>001</v>
          </cell>
          <cell r="H498" t="str">
            <v>03</v>
          </cell>
          <cell r="K498" t="str">
            <v>ADA-Servicios interdisciplinarios de investigación y desarrollo experimental</v>
          </cell>
        </row>
        <row r="499">
          <cell r="A499" t="str">
            <v>02020200800201</v>
          </cell>
          <cell r="B499" t="str">
            <v>02-02-02-008-002-01</v>
          </cell>
          <cell r="C499" t="str">
            <v>02</v>
          </cell>
          <cell r="D499" t="str">
            <v>02</v>
          </cell>
          <cell r="E499" t="str">
            <v>02</v>
          </cell>
          <cell r="F499" t="str">
            <v>008</v>
          </cell>
          <cell r="G499" t="str">
            <v>002</v>
          </cell>
          <cell r="H499" t="str">
            <v>01</v>
          </cell>
          <cell r="K499" t="str">
            <v>ADA-Servicios jurídicos</v>
          </cell>
        </row>
        <row r="500">
          <cell r="A500" t="str">
            <v>02020200800202</v>
          </cell>
          <cell r="B500" t="str">
            <v>02-02-02-008-002-02</v>
          </cell>
          <cell r="C500" t="str">
            <v>02</v>
          </cell>
          <cell r="D500" t="str">
            <v>02</v>
          </cell>
          <cell r="E500" t="str">
            <v>02</v>
          </cell>
          <cell r="F500" t="str">
            <v>008</v>
          </cell>
          <cell r="G500" t="str">
            <v>002</v>
          </cell>
          <cell r="H500" t="str">
            <v>02</v>
          </cell>
          <cell r="K500" t="str">
            <v>ADA-Servicios de contabilidad, auditoría y teneduría de libros</v>
          </cell>
        </row>
        <row r="501">
          <cell r="A501" t="str">
            <v>02020200800203</v>
          </cell>
          <cell r="B501" t="str">
            <v>02-02-02-008-002-03</v>
          </cell>
          <cell r="C501" t="str">
            <v>02</v>
          </cell>
          <cell r="D501" t="str">
            <v>02</v>
          </cell>
          <cell r="E501" t="str">
            <v>02</v>
          </cell>
          <cell r="F501" t="str">
            <v>008</v>
          </cell>
          <cell r="G501" t="str">
            <v>002</v>
          </cell>
          <cell r="H501" t="str">
            <v>03</v>
          </cell>
          <cell r="K501" t="str">
            <v>ADA-Servicios de preparación y asesoramiento tributario</v>
          </cell>
        </row>
        <row r="502">
          <cell r="A502" t="str">
            <v>02020200800204</v>
          </cell>
          <cell r="B502" t="str">
            <v>02-02-02-008-002-04</v>
          </cell>
          <cell r="C502" t="str">
            <v>02</v>
          </cell>
          <cell r="D502" t="str">
            <v>02</v>
          </cell>
          <cell r="E502" t="str">
            <v>02</v>
          </cell>
          <cell r="F502" t="str">
            <v>008</v>
          </cell>
          <cell r="G502" t="str">
            <v>002</v>
          </cell>
          <cell r="H502" t="str">
            <v>04</v>
          </cell>
          <cell r="K502" t="str">
            <v>ADA-Servicios relacionados con casos de insolvencia y liquidación</v>
          </cell>
        </row>
        <row r="503">
          <cell r="A503" t="str">
            <v>020202008003011</v>
          </cell>
          <cell r="B503" t="str">
            <v>02-02-02-008-003-01-1</v>
          </cell>
          <cell r="C503" t="str">
            <v>02</v>
          </cell>
          <cell r="D503" t="str">
            <v>02</v>
          </cell>
          <cell r="E503" t="str">
            <v>02</v>
          </cell>
          <cell r="F503" t="str">
            <v>008</v>
          </cell>
          <cell r="G503" t="str">
            <v>003</v>
          </cell>
          <cell r="H503" t="str">
            <v>01</v>
          </cell>
          <cell r="I503" t="str">
            <v>1</v>
          </cell>
          <cell r="K503" t="str">
            <v>ADA-Servicios de consultoría en administración y servicios de gestión</v>
          </cell>
        </row>
        <row r="504">
          <cell r="A504" t="str">
            <v>020202008003012</v>
          </cell>
          <cell r="B504" t="str">
            <v>02-02-02-008-003-01-2</v>
          </cell>
          <cell r="C504" t="str">
            <v>02</v>
          </cell>
          <cell r="D504" t="str">
            <v>02</v>
          </cell>
          <cell r="E504" t="str">
            <v>02</v>
          </cell>
          <cell r="F504" t="str">
            <v>008</v>
          </cell>
          <cell r="G504" t="str">
            <v>003</v>
          </cell>
          <cell r="H504" t="str">
            <v>01</v>
          </cell>
          <cell r="I504" t="str">
            <v>2</v>
          </cell>
          <cell r="K504" t="str">
            <v>ADA-Servicios de consultoría prestados a las empresas</v>
          </cell>
        </row>
        <row r="505">
          <cell r="A505" t="str">
            <v>020202008003013</v>
          </cell>
          <cell r="B505" t="str">
            <v>02-02-02-008-003-01-3</v>
          </cell>
          <cell r="C505" t="str">
            <v>02</v>
          </cell>
          <cell r="D505" t="str">
            <v>02</v>
          </cell>
          <cell r="E505" t="str">
            <v>02</v>
          </cell>
          <cell r="F505" t="str">
            <v>008</v>
          </cell>
          <cell r="G505" t="str">
            <v>003</v>
          </cell>
          <cell r="H505" t="str">
            <v>01</v>
          </cell>
          <cell r="I505" t="str">
            <v>3</v>
          </cell>
          <cell r="K505" t="str">
            <v>ADA-Servicios de tecnología de la información (ti) de consultoría y de apoyo</v>
          </cell>
        </row>
        <row r="506">
          <cell r="A506" t="str">
            <v>020202008003014</v>
          </cell>
          <cell r="B506" t="str">
            <v>02-02-02-008-003-01-4</v>
          </cell>
          <cell r="C506" t="str">
            <v>02</v>
          </cell>
          <cell r="D506" t="str">
            <v>02</v>
          </cell>
          <cell r="E506" t="str">
            <v>02</v>
          </cell>
          <cell r="F506" t="str">
            <v>008</v>
          </cell>
          <cell r="G506" t="str">
            <v>003</v>
          </cell>
          <cell r="H506" t="str">
            <v>01</v>
          </cell>
          <cell r="I506" t="str">
            <v>4</v>
          </cell>
          <cell r="K506" t="str">
            <v>ADA-Servicios de diseño y desarrollo de la tecnología de la información (ti)</v>
          </cell>
        </row>
        <row r="507">
          <cell r="A507" t="str">
            <v>020202008003015</v>
          </cell>
          <cell r="B507" t="str">
            <v>02-02-02-008-003-01-5</v>
          </cell>
          <cell r="C507" t="str">
            <v>02</v>
          </cell>
          <cell r="D507" t="str">
            <v>02</v>
          </cell>
          <cell r="E507" t="str">
            <v>02</v>
          </cell>
          <cell r="F507" t="str">
            <v>008</v>
          </cell>
          <cell r="G507" t="str">
            <v>003</v>
          </cell>
          <cell r="H507" t="str">
            <v>01</v>
          </cell>
          <cell r="I507" t="str">
            <v>5</v>
          </cell>
          <cell r="K507" t="str">
            <v>ADA-Servicios de suministro de infraestructura de hosting y de tecnología de la información (ti)</v>
          </cell>
        </row>
        <row r="508">
          <cell r="A508" t="str">
            <v>020202008003016</v>
          </cell>
          <cell r="B508" t="str">
            <v>02-02-02-008-003-01-6</v>
          </cell>
          <cell r="C508" t="str">
            <v>02</v>
          </cell>
          <cell r="D508" t="str">
            <v>02</v>
          </cell>
          <cell r="E508" t="str">
            <v>02</v>
          </cell>
          <cell r="F508" t="str">
            <v>008</v>
          </cell>
          <cell r="G508" t="str">
            <v>003</v>
          </cell>
          <cell r="H508" t="str">
            <v>01</v>
          </cell>
          <cell r="I508" t="str">
            <v>6</v>
          </cell>
          <cell r="K508" t="str">
            <v>ADA-Servicios de gestión de red e infraestructura de ti</v>
          </cell>
        </row>
        <row r="509">
          <cell r="A509" t="str">
            <v>020202008003019</v>
          </cell>
          <cell r="B509" t="str">
            <v>02-02-02-008-003-01-9</v>
          </cell>
          <cell r="C509" t="str">
            <v>02</v>
          </cell>
          <cell r="D509" t="str">
            <v>02</v>
          </cell>
          <cell r="E509" t="str">
            <v>02</v>
          </cell>
          <cell r="F509" t="str">
            <v>008</v>
          </cell>
          <cell r="G509" t="str">
            <v>003</v>
          </cell>
          <cell r="H509" t="str">
            <v>01</v>
          </cell>
          <cell r="I509" t="str">
            <v>9</v>
          </cell>
          <cell r="K509" t="str">
            <v>ADA-Otros servicios de gestión, excepto los servicios de administración de proyectos de construcción</v>
          </cell>
        </row>
        <row r="510">
          <cell r="A510" t="str">
            <v>02020200800302</v>
          </cell>
          <cell r="B510" t="str">
            <v>02-02-02-008-003-02</v>
          </cell>
          <cell r="C510" t="str">
            <v>02</v>
          </cell>
          <cell r="D510" t="str">
            <v>02</v>
          </cell>
          <cell r="E510" t="str">
            <v>02</v>
          </cell>
          <cell r="F510" t="str">
            <v>008</v>
          </cell>
          <cell r="G510" t="str">
            <v>003</v>
          </cell>
          <cell r="H510" t="str">
            <v>02</v>
          </cell>
          <cell r="K510" t="str">
            <v>ADA-Servicios de arquitectura, servicios de planeación urbana y ordenación del territorio; servicios de arquitectura paisajista</v>
          </cell>
        </row>
        <row r="511">
          <cell r="A511" t="str">
            <v>02020200800303</v>
          </cell>
          <cell r="B511" t="str">
            <v>02-02-02-008-003-03</v>
          </cell>
          <cell r="C511" t="str">
            <v>02</v>
          </cell>
          <cell r="D511" t="str">
            <v>02</v>
          </cell>
          <cell r="E511" t="str">
            <v>02</v>
          </cell>
          <cell r="F511" t="str">
            <v>008</v>
          </cell>
          <cell r="G511" t="str">
            <v>003</v>
          </cell>
          <cell r="H511" t="str">
            <v>03</v>
          </cell>
          <cell r="K511" t="str">
            <v>ADA-Servicios de ingeniería</v>
          </cell>
        </row>
        <row r="512">
          <cell r="A512" t="str">
            <v>020202008003041</v>
          </cell>
          <cell r="B512" t="str">
            <v>02-02-02-008-003-04-1</v>
          </cell>
          <cell r="C512" t="str">
            <v>02</v>
          </cell>
          <cell r="D512" t="str">
            <v>02</v>
          </cell>
          <cell r="E512" t="str">
            <v>02</v>
          </cell>
          <cell r="F512" t="str">
            <v>008</v>
          </cell>
          <cell r="G512" t="str">
            <v>003</v>
          </cell>
          <cell r="H512" t="str">
            <v>04</v>
          </cell>
          <cell r="I512" t="str">
            <v>1</v>
          </cell>
          <cell r="K512" t="str">
            <v>ADA-Servicios de prospección geológica, geofísica y otros</v>
          </cell>
        </row>
        <row r="513">
          <cell r="A513" t="str">
            <v>020202008003042</v>
          </cell>
          <cell r="B513" t="str">
            <v>02-02-02-008-003-04-2</v>
          </cell>
          <cell r="C513" t="str">
            <v>02</v>
          </cell>
          <cell r="D513" t="str">
            <v>02</v>
          </cell>
          <cell r="E513" t="str">
            <v>02</v>
          </cell>
          <cell r="F513" t="str">
            <v>008</v>
          </cell>
          <cell r="G513" t="str">
            <v>003</v>
          </cell>
          <cell r="H513" t="str">
            <v>04</v>
          </cell>
          <cell r="I513" t="str">
            <v>2</v>
          </cell>
          <cell r="K513" t="str">
            <v>ADA-Servicios de topografía de superficie y cartografía</v>
          </cell>
        </row>
        <row r="514">
          <cell r="A514" t="str">
            <v>020202008003043</v>
          </cell>
          <cell r="B514" t="str">
            <v>02-02-02-008-003-04-3</v>
          </cell>
          <cell r="C514" t="str">
            <v>02</v>
          </cell>
          <cell r="D514" t="str">
            <v>02</v>
          </cell>
          <cell r="E514" t="str">
            <v>02</v>
          </cell>
          <cell r="F514" t="str">
            <v>008</v>
          </cell>
          <cell r="G514" t="str">
            <v>003</v>
          </cell>
          <cell r="H514" t="str">
            <v>04</v>
          </cell>
          <cell r="I514" t="str">
            <v>3</v>
          </cell>
          <cell r="K514" t="str">
            <v>ADA-Pronóstico del tiempo y servicios meteorológicos</v>
          </cell>
        </row>
        <row r="515">
          <cell r="A515" t="str">
            <v>020202008003044</v>
          </cell>
          <cell r="B515" t="str">
            <v>02-02-02-008-003-04-4</v>
          </cell>
          <cell r="C515" t="str">
            <v>02</v>
          </cell>
          <cell r="D515" t="str">
            <v>02</v>
          </cell>
          <cell r="E515" t="str">
            <v>02</v>
          </cell>
          <cell r="F515" t="str">
            <v>008</v>
          </cell>
          <cell r="G515" t="str">
            <v>003</v>
          </cell>
          <cell r="H515" t="str">
            <v>04</v>
          </cell>
          <cell r="I515" t="str">
            <v>4</v>
          </cell>
          <cell r="K515" t="str">
            <v>ADA-Servicios de ensayo y análisis técnicos</v>
          </cell>
        </row>
        <row r="516">
          <cell r="A516" t="str">
            <v>02020200800305</v>
          </cell>
          <cell r="B516" t="str">
            <v>02-02-02-008-003-05</v>
          </cell>
          <cell r="C516" t="str">
            <v>02</v>
          </cell>
          <cell r="D516" t="str">
            <v>02</v>
          </cell>
          <cell r="E516" t="str">
            <v>02</v>
          </cell>
          <cell r="F516" t="str">
            <v>008</v>
          </cell>
          <cell r="G516" t="str">
            <v>003</v>
          </cell>
          <cell r="H516" t="str">
            <v>05</v>
          </cell>
          <cell r="K516" t="str">
            <v>ADA-Servicios veterinarios</v>
          </cell>
        </row>
        <row r="517">
          <cell r="A517" t="str">
            <v>02020200800306</v>
          </cell>
          <cell r="B517" t="str">
            <v>02-02-02-008-003-06</v>
          </cell>
          <cell r="C517" t="str">
            <v>02</v>
          </cell>
          <cell r="D517" t="str">
            <v>02</v>
          </cell>
          <cell r="E517" t="str">
            <v>02</v>
          </cell>
          <cell r="F517" t="str">
            <v>008</v>
          </cell>
          <cell r="G517" t="str">
            <v>003</v>
          </cell>
          <cell r="H517" t="str">
            <v>06</v>
          </cell>
          <cell r="K517" t="str">
            <v>ADA-Servicios de publicidad y el suministro de espacio o tiempo publicitarios</v>
          </cell>
        </row>
        <row r="518">
          <cell r="A518" t="str">
            <v>02020200800307</v>
          </cell>
          <cell r="B518" t="str">
            <v>02-02-02-008-003-07</v>
          </cell>
          <cell r="C518" t="str">
            <v>02</v>
          </cell>
          <cell r="D518" t="str">
            <v>02</v>
          </cell>
          <cell r="E518" t="str">
            <v>02</v>
          </cell>
          <cell r="F518" t="str">
            <v>008</v>
          </cell>
          <cell r="G518" t="str">
            <v>003</v>
          </cell>
          <cell r="H518" t="str">
            <v>07</v>
          </cell>
          <cell r="K518" t="str">
            <v>ADA-Servicios de investigación de mercados y de encuestas de opinión pública</v>
          </cell>
        </row>
        <row r="519">
          <cell r="A519" t="str">
            <v>02020200800308</v>
          </cell>
          <cell r="B519" t="str">
            <v>02-02-02-008-003-08</v>
          </cell>
          <cell r="C519" t="str">
            <v>02</v>
          </cell>
          <cell r="D519" t="str">
            <v>02</v>
          </cell>
          <cell r="E519" t="str">
            <v>02</v>
          </cell>
          <cell r="F519" t="str">
            <v>008</v>
          </cell>
          <cell r="G519" t="str">
            <v>003</v>
          </cell>
          <cell r="H519" t="str">
            <v>08</v>
          </cell>
          <cell r="K519" t="str">
            <v>ADA-Servicios fotográficos y servicios de revelado fotográfico</v>
          </cell>
        </row>
        <row r="520">
          <cell r="A520" t="str">
            <v>02020200800309</v>
          </cell>
          <cell r="B520" t="str">
            <v>02-02-02-008-003-09</v>
          </cell>
          <cell r="C520" t="str">
            <v>02</v>
          </cell>
          <cell r="D520" t="str">
            <v>02</v>
          </cell>
          <cell r="E520" t="str">
            <v>02</v>
          </cell>
          <cell r="F520" t="str">
            <v>008</v>
          </cell>
          <cell r="G520" t="str">
            <v>003</v>
          </cell>
          <cell r="H520" t="str">
            <v>09</v>
          </cell>
          <cell r="K520" t="str">
            <v>ADA-Otros servicios profesionales y técnicos n. C. P.</v>
          </cell>
        </row>
        <row r="521">
          <cell r="A521" t="str">
            <v>02020200800401</v>
          </cell>
          <cell r="B521" t="str">
            <v>02-02-02-008-004-01</v>
          </cell>
          <cell r="C521" t="str">
            <v>02</v>
          </cell>
          <cell r="D521" t="str">
            <v>02</v>
          </cell>
          <cell r="E521" t="str">
            <v>02</v>
          </cell>
          <cell r="F521" t="str">
            <v>008</v>
          </cell>
          <cell r="G521" t="str">
            <v>004</v>
          </cell>
          <cell r="H521" t="str">
            <v>01</v>
          </cell>
          <cell r="K521" t="str">
            <v>ADA-Servicios de telefonía y otras telecomunicaciones</v>
          </cell>
        </row>
        <row r="522">
          <cell r="A522" t="str">
            <v>02020200800402</v>
          </cell>
          <cell r="B522" t="str">
            <v>02-02-02-008-004-02</v>
          </cell>
          <cell r="C522" t="str">
            <v>02</v>
          </cell>
          <cell r="D522" t="str">
            <v>02</v>
          </cell>
          <cell r="E522" t="str">
            <v>02</v>
          </cell>
          <cell r="F522" t="str">
            <v>008</v>
          </cell>
          <cell r="G522" t="str">
            <v>004</v>
          </cell>
          <cell r="H522" t="str">
            <v>02</v>
          </cell>
          <cell r="K522" t="str">
            <v>ADA-Servicios de telecomunicaciones a través de internet</v>
          </cell>
        </row>
        <row r="523">
          <cell r="A523" t="str">
            <v>02020200800403</v>
          </cell>
          <cell r="B523" t="str">
            <v>02-02-02-008-004-03</v>
          </cell>
          <cell r="C523" t="str">
            <v>02</v>
          </cell>
          <cell r="D523" t="str">
            <v>02</v>
          </cell>
          <cell r="E523" t="str">
            <v>02</v>
          </cell>
          <cell r="F523" t="str">
            <v>008</v>
          </cell>
          <cell r="G523" t="str">
            <v>004</v>
          </cell>
          <cell r="H523" t="str">
            <v>03</v>
          </cell>
          <cell r="K523" t="str">
            <v>ADA-Servicios de contenidos en línea (on-line)</v>
          </cell>
        </row>
        <row r="524">
          <cell r="A524" t="str">
            <v>02020200800404</v>
          </cell>
          <cell r="B524" t="str">
            <v>02-02-02-008-004-04</v>
          </cell>
          <cell r="C524" t="str">
            <v>02</v>
          </cell>
          <cell r="D524" t="str">
            <v>02</v>
          </cell>
          <cell r="E524" t="str">
            <v>02</v>
          </cell>
          <cell r="F524" t="str">
            <v>008</v>
          </cell>
          <cell r="G524" t="str">
            <v>004</v>
          </cell>
          <cell r="H524" t="str">
            <v>04</v>
          </cell>
          <cell r="K524" t="str">
            <v>ADA-Servicios de agencias de noticias</v>
          </cell>
        </row>
        <row r="525">
          <cell r="A525" t="str">
            <v>02020200800405</v>
          </cell>
          <cell r="B525" t="str">
            <v>02-02-02-008-004-05</v>
          </cell>
          <cell r="C525" t="str">
            <v>02</v>
          </cell>
          <cell r="D525" t="str">
            <v>02</v>
          </cell>
          <cell r="E525" t="str">
            <v>02</v>
          </cell>
          <cell r="F525" t="str">
            <v>008</v>
          </cell>
          <cell r="G525" t="str">
            <v>004</v>
          </cell>
          <cell r="H525" t="str">
            <v>05</v>
          </cell>
          <cell r="K525" t="str">
            <v>ADA-Servicios de bibliotecas y archivos</v>
          </cell>
        </row>
        <row r="526">
          <cell r="A526" t="str">
            <v>02020200800406</v>
          </cell>
          <cell r="B526" t="str">
            <v>02-02-02-008-004-06</v>
          </cell>
          <cell r="C526" t="str">
            <v>02</v>
          </cell>
          <cell r="D526" t="str">
            <v>02</v>
          </cell>
          <cell r="E526" t="str">
            <v>02</v>
          </cell>
          <cell r="F526" t="str">
            <v>008</v>
          </cell>
          <cell r="G526" t="str">
            <v>004</v>
          </cell>
          <cell r="H526" t="str">
            <v>06</v>
          </cell>
          <cell r="K526" t="str">
            <v>ADA-Servicios de programación, distribución y transmisión de programas</v>
          </cell>
        </row>
        <row r="527">
          <cell r="A527" t="str">
            <v>02020200800501</v>
          </cell>
          <cell r="B527" t="str">
            <v>02-02-02-008-005-01</v>
          </cell>
          <cell r="C527" t="str">
            <v>02</v>
          </cell>
          <cell r="D527" t="str">
            <v>02</v>
          </cell>
          <cell r="E527" t="str">
            <v>02</v>
          </cell>
          <cell r="F527" t="str">
            <v>008</v>
          </cell>
          <cell r="G527" t="str">
            <v>005</v>
          </cell>
          <cell r="H527" t="str">
            <v>01</v>
          </cell>
          <cell r="K527" t="str">
            <v>ADA-Servicios de empleo</v>
          </cell>
        </row>
        <row r="528">
          <cell r="A528" t="str">
            <v>02020200800502</v>
          </cell>
          <cell r="B528" t="str">
            <v>02-02-02-008-005-02</v>
          </cell>
          <cell r="C528" t="str">
            <v>02</v>
          </cell>
          <cell r="D528" t="str">
            <v>02</v>
          </cell>
          <cell r="E528" t="str">
            <v>02</v>
          </cell>
          <cell r="F528" t="str">
            <v>008</v>
          </cell>
          <cell r="G528" t="str">
            <v>005</v>
          </cell>
          <cell r="H528" t="str">
            <v>02</v>
          </cell>
          <cell r="K528" t="str">
            <v>ADA-Servicios de investigación y seguridad</v>
          </cell>
        </row>
        <row r="529">
          <cell r="A529" t="str">
            <v>02020200800503</v>
          </cell>
          <cell r="B529" t="str">
            <v>02-02-02-008-005-03</v>
          </cell>
          <cell r="C529" t="str">
            <v>02</v>
          </cell>
          <cell r="D529" t="str">
            <v>02</v>
          </cell>
          <cell r="E529" t="str">
            <v>02</v>
          </cell>
          <cell r="F529" t="str">
            <v>008</v>
          </cell>
          <cell r="G529" t="str">
            <v>005</v>
          </cell>
          <cell r="H529" t="str">
            <v>03</v>
          </cell>
          <cell r="K529" t="str">
            <v>ADA-Servicios de limpieza</v>
          </cell>
        </row>
        <row r="530">
          <cell r="A530" t="str">
            <v>02020200800504</v>
          </cell>
          <cell r="B530" t="str">
            <v>02-02-02-008-005-04</v>
          </cell>
          <cell r="C530" t="str">
            <v>02</v>
          </cell>
          <cell r="D530" t="str">
            <v>02</v>
          </cell>
          <cell r="E530" t="str">
            <v>02</v>
          </cell>
          <cell r="F530" t="str">
            <v>008</v>
          </cell>
          <cell r="G530" t="str">
            <v>005</v>
          </cell>
          <cell r="H530" t="str">
            <v>04</v>
          </cell>
          <cell r="K530" t="str">
            <v>ADA-Servicios de empaque</v>
          </cell>
        </row>
        <row r="531">
          <cell r="A531" t="str">
            <v>02020200800505</v>
          </cell>
          <cell r="B531" t="str">
            <v>02-02-02-008-005-05</v>
          </cell>
          <cell r="C531" t="str">
            <v>02</v>
          </cell>
          <cell r="D531" t="str">
            <v>02</v>
          </cell>
          <cell r="E531" t="str">
            <v>02</v>
          </cell>
          <cell r="F531" t="str">
            <v>008</v>
          </cell>
          <cell r="G531" t="str">
            <v>005</v>
          </cell>
          <cell r="H531" t="str">
            <v>05</v>
          </cell>
          <cell r="K531" t="str">
            <v>ADA-Servicios de organización de viajes, operadores turísticos y servicios conexos</v>
          </cell>
        </row>
        <row r="532">
          <cell r="A532" t="str">
            <v>020202008005091</v>
          </cell>
          <cell r="B532" t="str">
            <v>02-02-02-008-005-09-1</v>
          </cell>
          <cell r="C532" t="str">
            <v>02</v>
          </cell>
          <cell r="D532" t="str">
            <v>02</v>
          </cell>
          <cell r="E532" t="str">
            <v>02</v>
          </cell>
          <cell r="F532" t="str">
            <v>008</v>
          </cell>
          <cell r="G532" t="str">
            <v>005</v>
          </cell>
          <cell r="H532" t="str">
            <v>09</v>
          </cell>
          <cell r="I532" t="str">
            <v>1</v>
          </cell>
          <cell r="K532" t="str">
            <v>ADA-Servicios de información crediticia</v>
          </cell>
        </row>
        <row r="533">
          <cell r="A533" t="str">
            <v>020202008005092</v>
          </cell>
          <cell r="B533" t="str">
            <v>02-02-02-008-005-09-2</v>
          </cell>
          <cell r="C533" t="str">
            <v>02</v>
          </cell>
          <cell r="D533" t="str">
            <v>02</v>
          </cell>
          <cell r="E533" t="str">
            <v>02</v>
          </cell>
          <cell r="F533" t="str">
            <v>008</v>
          </cell>
          <cell r="G533" t="str">
            <v>005</v>
          </cell>
          <cell r="H533" t="str">
            <v>09</v>
          </cell>
          <cell r="I533" t="str">
            <v>2</v>
          </cell>
          <cell r="K533" t="str">
            <v>ADA-Servicios de agencias de cobranza</v>
          </cell>
        </row>
        <row r="534">
          <cell r="A534" t="str">
            <v>020202008005093</v>
          </cell>
          <cell r="B534" t="str">
            <v>02-02-02-008-005-09-3</v>
          </cell>
          <cell r="C534" t="str">
            <v>02</v>
          </cell>
          <cell r="D534" t="str">
            <v>02</v>
          </cell>
          <cell r="E534" t="str">
            <v>02</v>
          </cell>
          <cell r="F534" t="str">
            <v>008</v>
          </cell>
          <cell r="G534" t="str">
            <v>005</v>
          </cell>
          <cell r="H534" t="str">
            <v>09</v>
          </cell>
          <cell r="I534" t="str">
            <v>3</v>
          </cell>
          <cell r="K534" t="str">
            <v>ADA-Servicios auxiliares por teléfono</v>
          </cell>
        </row>
        <row r="535">
          <cell r="A535" t="str">
            <v>020202008005094</v>
          </cell>
          <cell r="B535" t="str">
            <v>02-02-02-008-005-09-4</v>
          </cell>
          <cell r="C535" t="str">
            <v>02</v>
          </cell>
          <cell r="D535" t="str">
            <v>02</v>
          </cell>
          <cell r="E535" t="str">
            <v>02</v>
          </cell>
          <cell r="F535" t="str">
            <v>008</v>
          </cell>
          <cell r="G535" t="str">
            <v>005</v>
          </cell>
          <cell r="H535" t="str">
            <v>09</v>
          </cell>
          <cell r="I535" t="str">
            <v>4</v>
          </cell>
          <cell r="K535" t="str">
            <v>ADA-Servicios administrativos combinados de oficina</v>
          </cell>
        </row>
        <row r="536">
          <cell r="A536" t="str">
            <v>020202008005095</v>
          </cell>
          <cell r="B536" t="str">
            <v>02-02-02-008-005-09-5</v>
          </cell>
          <cell r="C536" t="str">
            <v>02</v>
          </cell>
          <cell r="D536" t="str">
            <v>02</v>
          </cell>
          <cell r="E536" t="str">
            <v>02</v>
          </cell>
          <cell r="F536" t="str">
            <v>008</v>
          </cell>
          <cell r="G536" t="str">
            <v>005</v>
          </cell>
          <cell r="H536" t="str">
            <v>09</v>
          </cell>
          <cell r="I536" t="str">
            <v>5</v>
          </cell>
          <cell r="K536" t="str">
            <v>ADA-Servicios auxiliares especializados de oficina</v>
          </cell>
        </row>
        <row r="537">
          <cell r="A537" t="str">
            <v>020202008005096</v>
          </cell>
          <cell r="B537" t="str">
            <v>02-02-02-008-005-09-6</v>
          </cell>
          <cell r="C537" t="str">
            <v>02</v>
          </cell>
          <cell r="D537" t="str">
            <v>02</v>
          </cell>
          <cell r="E537" t="str">
            <v>02</v>
          </cell>
          <cell r="F537" t="str">
            <v>008</v>
          </cell>
          <cell r="G537" t="str">
            <v>005</v>
          </cell>
          <cell r="H537" t="str">
            <v>09</v>
          </cell>
          <cell r="I537" t="str">
            <v>6</v>
          </cell>
          <cell r="K537" t="str">
            <v>ADA-Servicios de organización y asistencia de convenciones y ferias</v>
          </cell>
        </row>
        <row r="538">
          <cell r="A538" t="str">
            <v>020202008005097</v>
          </cell>
          <cell r="B538" t="str">
            <v>02-02-02-008-005-09-7</v>
          </cell>
          <cell r="C538" t="str">
            <v>02</v>
          </cell>
          <cell r="D538" t="str">
            <v>02</v>
          </cell>
          <cell r="E538" t="str">
            <v>02</v>
          </cell>
          <cell r="F538" t="str">
            <v>008</v>
          </cell>
          <cell r="G538" t="str">
            <v>005</v>
          </cell>
          <cell r="H538" t="str">
            <v>09</v>
          </cell>
          <cell r="I538" t="str">
            <v>7</v>
          </cell>
          <cell r="K538" t="str">
            <v>ADA-Servicios de mantenimiento y cuidado del paisaje</v>
          </cell>
        </row>
        <row r="539">
          <cell r="A539" t="str">
            <v>020202008005099</v>
          </cell>
          <cell r="B539" t="str">
            <v>02-02-02-008-005-09-9</v>
          </cell>
          <cell r="C539" t="str">
            <v>02</v>
          </cell>
          <cell r="D539" t="str">
            <v>02</v>
          </cell>
          <cell r="E539" t="str">
            <v>02</v>
          </cell>
          <cell r="F539" t="str">
            <v>008</v>
          </cell>
          <cell r="G539" t="str">
            <v>005</v>
          </cell>
          <cell r="H539" t="str">
            <v>09</v>
          </cell>
          <cell r="I539" t="str">
            <v>9</v>
          </cell>
          <cell r="K539" t="str">
            <v>ADA-Otros servicios de apoyo y de información n. C. P.</v>
          </cell>
        </row>
        <row r="540">
          <cell r="A540" t="str">
            <v>02020200800601</v>
          </cell>
          <cell r="B540" t="str">
            <v>02-02-02-008-006-01</v>
          </cell>
          <cell r="C540" t="str">
            <v>02</v>
          </cell>
          <cell r="D540" t="str">
            <v>02</v>
          </cell>
          <cell r="E540" t="str">
            <v>02</v>
          </cell>
          <cell r="F540" t="str">
            <v>008</v>
          </cell>
          <cell r="G540" t="str">
            <v>006</v>
          </cell>
          <cell r="H540" t="str">
            <v>01</v>
          </cell>
          <cell r="K540" t="str">
            <v>ADA-Servicios de apoyo a la agricultura, la caza, la silvicultura y la pesca</v>
          </cell>
        </row>
        <row r="541">
          <cell r="A541" t="str">
            <v>02020200800602</v>
          </cell>
          <cell r="B541" t="str">
            <v>02-02-02-008-006-02</v>
          </cell>
          <cell r="C541" t="str">
            <v>02</v>
          </cell>
          <cell r="D541" t="str">
            <v>02</v>
          </cell>
          <cell r="E541" t="str">
            <v>02</v>
          </cell>
          <cell r="F541" t="str">
            <v>008</v>
          </cell>
          <cell r="G541" t="str">
            <v>006</v>
          </cell>
          <cell r="H541" t="str">
            <v>02</v>
          </cell>
          <cell r="K541" t="str">
            <v>ADA-Servicios de apoyo a la minería</v>
          </cell>
        </row>
        <row r="542">
          <cell r="A542" t="str">
            <v>02020200800603</v>
          </cell>
          <cell r="B542" t="str">
            <v>02-02-02-008-006-03</v>
          </cell>
          <cell r="C542" t="str">
            <v>02</v>
          </cell>
          <cell r="D542" t="str">
            <v>02</v>
          </cell>
          <cell r="E542" t="str">
            <v>02</v>
          </cell>
          <cell r="F542" t="str">
            <v>008</v>
          </cell>
          <cell r="G542" t="str">
            <v>006</v>
          </cell>
          <cell r="H542" t="str">
            <v>03</v>
          </cell>
          <cell r="K542" t="str">
            <v>ADA-Servicios de apoyo a la distribución de electricidad, gas y agua</v>
          </cell>
        </row>
        <row r="543">
          <cell r="A543" t="str">
            <v>020202008007011</v>
          </cell>
          <cell r="B543" t="str">
            <v>02-02-02-008-007-01-1</v>
          </cell>
          <cell r="C543" t="str">
            <v>02</v>
          </cell>
          <cell r="D543" t="str">
            <v>02</v>
          </cell>
          <cell r="E543" t="str">
            <v>02</v>
          </cell>
          <cell r="F543" t="str">
            <v>008</v>
          </cell>
          <cell r="G543" t="str">
            <v>007</v>
          </cell>
          <cell r="H543" t="str">
            <v>01</v>
          </cell>
          <cell r="I543" t="str">
            <v>1</v>
          </cell>
          <cell r="K543" t="str">
            <v>ADA-Servicios de mantenimiento y reparación de productos metálicos elaborados, excepto maquinaria y equipo</v>
          </cell>
        </row>
        <row r="544">
          <cell r="A544" t="str">
            <v>020202008007012</v>
          </cell>
          <cell r="B544" t="str">
            <v>02-02-02-008-007-01-2</v>
          </cell>
          <cell r="C544" t="str">
            <v>02</v>
          </cell>
          <cell r="D544" t="str">
            <v>02</v>
          </cell>
          <cell r="E544" t="str">
            <v>02</v>
          </cell>
          <cell r="F544" t="str">
            <v>008</v>
          </cell>
          <cell r="G544" t="str">
            <v>007</v>
          </cell>
          <cell r="H544" t="str">
            <v>01</v>
          </cell>
          <cell r="I544" t="str">
            <v>2</v>
          </cell>
          <cell r="K544" t="str">
            <v>ADA-Servicios de mantenimiento y reparación de maquinaria de oficina y contabilidad</v>
          </cell>
        </row>
        <row r="545">
          <cell r="A545" t="str">
            <v>020202008007013</v>
          </cell>
          <cell r="B545" t="str">
            <v>02-02-02-008-007-01-3</v>
          </cell>
          <cell r="C545" t="str">
            <v>02</v>
          </cell>
          <cell r="D545" t="str">
            <v>02</v>
          </cell>
          <cell r="E545" t="str">
            <v>02</v>
          </cell>
          <cell r="F545" t="str">
            <v>008</v>
          </cell>
          <cell r="G545" t="str">
            <v>007</v>
          </cell>
          <cell r="H545" t="str">
            <v>01</v>
          </cell>
          <cell r="I545" t="str">
            <v>3</v>
          </cell>
          <cell r="K545" t="str">
            <v>ADA-Servicios de mantenimiento y reparación de computadores y equipo periférico</v>
          </cell>
        </row>
        <row r="546">
          <cell r="A546" t="str">
            <v>020202008007014</v>
          </cell>
          <cell r="B546" t="str">
            <v>02-02-02-008-007-01-4</v>
          </cell>
          <cell r="C546" t="str">
            <v>02</v>
          </cell>
          <cell r="D546" t="str">
            <v>02</v>
          </cell>
          <cell r="E546" t="str">
            <v>02</v>
          </cell>
          <cell r="F546" t="str">
            <v>008</v>
          </cell>
          <cell r="G546" t="str">
            <v>007</v>
          </cell>
          <cell r="H546" t="str">
            <v>01</v>
          </cell>
          <cell r="I546" t="str">
            <v>4</v>
          </cell>
          <cell r="K546" t="str">
            <v>ADA-Servicios de mantenimiento y reparación de maquinaria y equipo de transporte</v>
          </cell>
        </row>
        <row r="547">
          <cell r="A547" t="str">
            <v>020202008007015</v>
          </cell>
          <cell r="B547" t="str">
            <v>02-02-02-008-007-01-5</v>
          </cell>
          <cell r="C547" t="str">
            <v>02</v>
          </cell>
          <cell r="D547" t="str">
            <v>02</v>
          </cell>
          <cell r="E547" t="str">
            <v>02</v>
          </cell>
          <cell r="F547" t="str">
            <v>008</v>
          </cell>
          <cell r="G547" t="str">
            <v>007</v>
          </cell>
          <cell r="H547" t="str">
            <v>01</v>
          </cell>
          <cell r="I547" t="str">
            <v>5</v>
          </cell>
          <cell r="K547" t="str">
            <v>ADA-Servicios de mantenimiento y reparación de otra maquinaria y otro equipo</v>
          </cell>
        </row>
        <row r="548">
          <cell r="A548" t="str">
            <v>020202008007021</v>
          </cell>
          <cell r="B548" t="str">
            <v>02-02-02-008-007-02-1</v>
          </cell>
          <cell r="C548" t="str">
            <v>02</v>
          </cell>
          <cell r="D548" t="str">
            <v>02</v>
          </cell>
          <cell r="E548" t="str">
            <v>02</v>
          </cell>
          <cell r="F548" t="str">
            <v>008</v>
          </cell>
          <cell r="G548" t="str">
            <v>007</v>
          </cell>
          <cell r="H548" t="str">
            <v>02</v>
          </cell>
          <cell r="I548" t="str">
            <v>1</v>
          </cell>
          <cell r="K548" t="str">
            <v>ADA-Servicios de reparación de calzado y artículos de cuero</v>
          </cell>
        </row>
        <row r="549">
          <cell r="A549" t="str">
            <v>020202008007022</v>
          </cell>
          <cell r="B549" t="str">
            <v>02-02-02-008-007-02-2</v>
          </cell>
          <cell r="C549" t="str">
            <v>02</v>
          </cell>
          <cell r="D549" t="str">
            <v>02</v>
          </cell>
          <cell r="E549" t="str">
            <v>02</v>
          </cell>
          <cell r="F549" t="str">
            <v>008</v>
          </cell>
          <cell r="G549" t="str">
            <v>007</v>
          </cell>
          <cell r="H549" t="str">
            <v>02</v>
          </cell>
          <cell r="I549" t="str">
            <v>2</v>
          </cell>
          <cell r="K549" t="str">
            <v>ADA-Servicios de reparación de relojes y joyas</v>
          </cell>
        </row>
        <row r="550">
          <cell r="A550" t="str">
            <v>020202008007023</v>
          </cell>
          <cell r="B550" t="str">
            <v>02-02-02-008-007-02-3</v>
          </cell>
          <cell r="C550" t="str">
            <v>02</v>
          </cell>
          <cell r="D550" t="str">
            <v>02</v>
          </cell>
          <cell r="E550" t="str">
            <v>02</v>
          </cell>
          <cell r="F550" t="str">
            <v>008</v>
          </cell>
          <cell r="G550" t="str">
            <v>007</v>
          </cell>
          <cell r="H550" t="str">
            <v>02</v>
          </cell>
          <cell r="I550" t="str">
            <v>3</v>
          </cell>
          <cell r="K550" t="str">
            <v>ADA-Servicios de reparación de prendas de vestir y textiles para el hogar</v>
          </cell>
        </row>
        <row r="551">
          <cell r="A551" t="str">
            <v>020202008007024</v>
          </cell>
          <cell r="B551" t="str">
            <v>02-02-02-008-007-02-4</v>
          </cell>
          <cell r="C551" t="str">
            <v>02</v>
          </cell>
          <cell r="D551" t="str">
            <v>02</v>
          </cell>
          <cell r="E551" t="str">
            <v>02</v>
          </cell>
          <cell r="F551" t="str">
            <v>008</v>
          </cell>
          <cell r="G551" t="str">
            <v>007</v>
          </cell>
          <cell r="H551" t="str">
            <v>02</v>
          </cell>
          <cell r="I551" t="str">
            <v>4</v>
          </cell>
          <cell r="K551" t="str">
            <v>ADA-Servicios de reparación de muebles</v>
          </cell>
        </row>
        <row r="552">
          <cell r="A552" t="str">
            <v>020202008007029</v>
          </cell>
          <cell r="B552" t="str">
            <v>02-02-02-008-007-02-9</v>
          </cell>
          <cell r="C552" t="str">
            <v>02</v>
          </cell>
          <cell r="D552" t="str">
            <v>02</v>
          </cell>
          <cell r="E552" t="str">
            <v>02</v>
          </cell>
          <cell r="F552" t="str">
            <v>008</v>
          </cell>
          <cell r="G552" t="str">
            <v>007</v>
          </cell>
          <cell r="H552" t="str">
            <v>02</v>
          </cell>
          <cell r="I552" t="str">
            <v>9</v>
          </cell>
          <cell r="K552" t="str">
            <v>ADA-Servicios de mantenimiento y reparación de otros bienes n. C. P.</v>
          </cell>
        </row>
        <row r="553">
          <cell r="A553" t="str">
            <v>020202008007031</v>
          </cell>
          <cell r="B553" t="str">
            <v>02-02-02-008-007-03-1</v>
          </cell>
          <cell r="C553" t="str">
            <v>02</v>
          </cell>
          <cell r="D553" t="str">
            <v>02</v>
          </cell>
          <cell r="E553" t="str">
            <v>02</v>
          </cell>
          <cell r="F553" t="str">
            <v>008</v>
          </cell>
          <cell r="G553" t="str">
            <v>007</v>
          </cell>
          <cell r="H553" t="str">
            <v>03</v>
          </cell>
          <cell r="I553" t="str">
            <v>1</v>
          </cell>
          <cell r="K553" t="str">
            <v>ADA-Servicios de instalación de productos metálicos elaborados, excepto maquinaria y equipo</v>
          </cell>
        </row>
        <row r="554">
          <cell r="A554" t="str">
            <v>020202008007032</v>
          </cell>
          <cell r="B554" t="str">
            <v>02-02-02-008-007-03-2</v>
          </cell>
          <cell r="C554" t="str">
            <v>02</v>
          </cell>
          <cell r="D554" t="str">
            <v>02</v>
          </cell>
          <cell r="E554" t="str">
            <v>02</v>
          </cell>
          <cell r="F554" t="str">
            <v>008</v>
          </cell>
          <cell r="G554" t="str">
            <v>007</v>
          </cell>
          <cell r="H554" t="str">
            <v>03</v>
          </cell>
          <cell r="I554" t="str">
            <v>2</v>
          </cell>
          <cell r="K554" t="str">
            <v>ADA-Servicios de instalación de maquinaria y equipo para el sector industrial</v>
          </cell>
        </row>
        <row r="555">
          <cell r="A555" t="str">
            <v>020202008007033</v>
          </cell>
          <cell r="B555" t="str">
            <v>02-02-02-008-007-03-3</v>
          </cell>
          <cell r="C555" t="str">
            <v>02</v>
          </cell>
          <cell r="D555" t="str">
            <v>02</v>
          </cell>
          <cell r="E555" t="str">
            <v>02</v>
          </cell>
          <cell r="F555" t="str">
            <v>008</v>
          </cell>
          <cell r="G555" t="str">
            <v>007</v>
          </cell>
          <cell r="H555" t="str">
            <v>03</v>
          </cell>
          <cell r="I555" t="str">
            <v>3</v>
          </cell>
          <cell r="K555" t="str">
            <v>ADA-Servicios de instalación de maquinaria de oficina, contabilidad y computadores</v>
          </cell>
        </row>
        <row r="556">
          <cell r="A556" t="str">
            <v>020202008007034</v>
          </cell>
          <cell r="B556" t="str">
            <v>02-02-02-008-007-03-4</v>
          </cell>
          <cell r="C556" t="str">
            <v>02</v>
          </cell>
          <cell r="D556" t="str">
            <v>02</v>
          </cell>
          <cell r="E556" t="str">
            <v>02</v>
          </cell>
          <cell r="F556" t="str">
            <v>008</v>
          </cell>
          <cell r="G556" t="str">
            <v>007</v>
          </cell>
          <cell r="H556" t="str">
            <v>03</v>
          </cell>
          <cell r="I556" t="str">
            <v>4</v>
          </cell>
          <cell r="K556" t="str">
            <v>ADA-Servicios de instalación de equipos y aparatos de radio, televisión y comunicaciones</v>
          </cell>
        </row>
        <row r="557">
          <cell r="A557" t="str">
            <v>020202008007035</v>
          </cell>
          <cell r="B557" t="str">
            <v>02-02-02-008-007-03-5</v>
          </cell>
          <cell r="C557" t="str">
            <v>02</v>
          </cell>
          <cell r="D557" t="str">
            <v>02</v>
          </cell>
          <cell r="E557" t="str">
            <v>02</v>
          </cell>
          <cell r="F557" t="str">
            <v>008</v>
          </cell>
          <cell r="G557" t="str">
            <v>007</v>
          </cell>
          <cell r="H557" t="str">
            <v>03</v>
          </cell>
          <cell r="I557" t="str">
            <v>5</v>
          </cell>
          <cell r="K557" t="str">
            <v>ADA-Servicios de instalación de maquinaria y equipo médico profesional, e instrumentos de precisión y ópticos</v>
          </cell>
        </row>
        <row r="558">
          <cell r="A558" t="str">
            <v>020202008007036</v>
          </cell>
          <cell r="B558" t="str">
            <v>02-02-02-008-007-03-6</v>
          </cell>
          <cell r="C558" t="str">
            <v>02</v>
          </cell>
          <cell r="D558" t="str">
            <v>02</v>
          </cell>
          <cell r="E558" t="str">
            <v>02</v>
          </cell>
          <cell r="F558" t="str">
            <v>008</v>
          </cell>
          <cell r="G558" t="str">
            <v>007</v>
          </cell>
          <cell r="H558" t="str">
            <v>03</v>
          </cell>
          <cell r="I558" t="str">
            <v>6</v>
          </cell>
          <cell r="K558" t="str">
            <v>ADA-Servicios de instalación de maquinaria y aparatos eléctricos n. C. P.</v>
          </cell>
        </row>
        <row r="559">
          <cell r="A559" t="str">
            <v>020202008007039</v>
          </cell>
          <cell r="B559" t="str">
            <v>02-02-02-008-007-03-9</v>
          </cell>
          <cell r="C559" t="str">
            <v>02</v>
          </cell>
          <cell r="D559" t="str">
            <v>02</v>
          </cell>
          <cell r="E559" t="str">
            <v>02</v>
          </cell>
          <cell r="F559" t="str">
            <v>008</v>
          </cell>
          <cell r="G559" t="str">
            <v>007</v>
          </cell>
          <cell r="H559" t="str">
            <v>03</v>
          </cell>
          <cell r="I559" t="str">
            <v>9</v>
          </cell>
          <cell r="K559" t="str">
            <v>ADA-Servicios de instalación de otros bienes n. C. P.</v>
          </cell>
        </row>
        <row r="560">
          <cell r="A560" t="str">
            <v>02020200800801</v>
          </cell>
          <cell r="B560" t="str">
            <v>02-02-02-008-008-01</v>
          </cell>
          <cell r="C560" t="str">
            <v>02</v>
          </cell>
          <cell r="D560" t="str">
            <v>02</v>
          </cell>
          <cell r="E560" t="str">
            <v>02</v>
          </cell>
          <cell r="F560" t="str">
            <v>008</v>
          </cell>
          <cell r="G560" t="str">
            <v>008</v>
          </cell>
          <cell r="H560" t="str">
            <v>01</v>
          </cell>
          <cell r="K560" t="str">
            <v>ADA-Servicios de fabricación de alimentos, bebidas y tabaco</v>
          </cell>
        </row>
        <row r="561">
          <cell r="A561" t="str">
            <v>02020200800802</v>
          </cell>
          <cell r="B561" t="str">
            <v>02-02-02-008-008-02</v>
          </cell>
          <cell r="C561" t="str">
            <v>02</v>
          </cell>
          <cell r="D561" t="str">
            <v>02</v>
          </cell>
          <cell r="E561" t="str">
            <v>02</v>
          </cell>
          <cell r="F561" t="str">
            <v>008</v>
          </cell>
          <cell r="G561" t="str">
            <v>008</v>
          </cell>
          <cell r="H561" t="str">
            <v>02</v>
          </cell>
          <cell r="K561" t="str">
            <v>ADA-Servicios de fabricación de textiles, confecciones y productos de cuero</v>
          </cell>
        </row>
        <row r="562">
          <cell r="A562" t="str">
            <v>02020200800803</v>
          </cell>
          <cell r="B562" t="str">
            <v>02-02-02-008-008-03</v>
          </cell>
          <cell r="C562" t="str">
            <v>02</v>
          </cell>
          <cell r="D562" t="str">
            <v>02</v>
          </cell>
          <cell r="E562" t="str">
            <v>02</v>
          </cell>
          <cell r="F562" t="str">
            <v>008</v>
          </cell>
          <cell r="G562" t="str">
            <v>008</v>
          </cell>
          <cell r="H562" t="str">
            <v>03</v>
          </cell>
          <cell r="K562" t="str">
            <v>ADA-Servicios de fabricación de la madera y el papel</v>
          </cell>
        </row>
        <row r="563">
          <cell r="A563" t="str">
            <v>02020200800804</v>
          </cell>
          <cell r="B563" t="str">
            <v>02-02-02-008-008-04</v>
          </cell>
          <cell r="C563" t="str">
            <v>02</v>
          </cell>
          <cell r="D563" t="str">
            <v>02</v>
          </cell>
          <cell r="E563" t="str">
            <v>02</v>
          </cell>
          <cell r="F563" t="str">
            <v>008</v>
          </cell>
          <cell r="G563" t="str">
            <v>008</v>
          </cell>
          <cell r="H563" t="str">
            <v>04</v>
          </cell>
          <cell r="K563" t="str">
            <v>ADA-Servicios de fabricación de productos de la refinación del petróleo, productos químicos y farmacéuticos</v>
          </cell>
        </row>
        <row r="564">
          <cell r="A564" t="str">
            <v>02020200800805</v>
          </cell>
          <cell r="B564" t="str">
            <v>02-02-02-008-008-05</v>
          </cell>
          <cell r="C564" t="str">
            <v>02</v>
          </cell>
          <cell r="D564" t="str">
            <v>02</v>
          </cell>
          <cell r="E564" t="str">
            <v>02</v>
          </cell>
          <cell r="F564" t="str">
            <v>008</v>
          </cell>
          <cell r="G564" t="str">
            <v>008</v>
          </cell>
          <cell r="H564" t="str">
            <v>05</v>
          </cell>
          <cell r="K564" t="str">
            <v>ADA-Servicios de fabricación de productos de caucho, plástico y otros productos minerales no metálicos</v>
          </cell>
        </row>
        <row r="565">
          <cell r="A565" t="str">
            <v>02020200800806</v>
          </cell>
          <cell r="B565" t="str">
            <v>02-02-02-008-008-06</v>
          </cell>
          <cell r="C565" t="str">
            <v>02</v>
          </cell>
          <cell r="D565" t="str">
            <v>02</v>
          </cell>
          <cell r="E565" t="str">
            <v>02</v>
          </cell>
          <cell r="F565" t="str">
            <v>008</v>
          </cell>
          <cell r="G565" t="str">
            <v>008</v>
          </cell>
          <cell r="H565" t="str">
            <v>06</v>
          </cell>
          <cell r="K565" t="str">
            <v>ADA-Servicios de fabricación de productos metalúrgicos básicos</v>
          </cell>
        </row>
        <row r="566">
          <cell r="A566" t="str">
            <v>02020200800807</v>
          </cell>
          <cell r="B566" t="str">
            <v>02-02-02-008-008-07</v>
          </cell>
          <cell r="C566" t="str">
            <v>02</v>
          </cell>
          <cell r="D566" t="str">
            <v>02</v>
          </cell>
          <cell r="E566" t="str">
            <v>02</v>
          </cell>
          <cell r="F566" t="str">
            <v>008</v>
          </cell>
          <cell r="G566" t="str">
            <v>008</v>
          </cell>
          <cell r="H566" t="str">
            <v>07</v>
          </cell>
          <cell r="K566" t="str">
            <v>ADA-Servicios de fabricación de productos metálicos elaborados, maquinaria y equipo</v>
          </cell>
        </row>
        <row r="567">
          <cell r="A567" t="str">
            <v>02020200800808</v>
          </cell>
          <cell r="B567" t="str">
            <v>02-02-02-008-008-08</v>
          </cell>
          <cell r="C567" t="str">
            <v>02</v>
          </cell>
          <cell r="D567" t="str">
            <v>02</v>
          </cell>
          <cell r="E567" t="str">
            <v>02</v>
          </cell>
          <cell r="F567" t="str">
            <v>008</v>
          </cell>
          <cell r="G567" t="str">
            <v>008</v>
          </cell>
          <cell r="H567" t="str">
            <v>08</v>
          </cell>
          <cell r="K567" t="str">
            <v>ADA-Servicios de fabricación de equipo de transporte</v>
          </cell>
        </row>
        <row r="568">
          <cell r="A568" t="str">
            <v>02020200800809</v>
          </cell>
          <cell r="B568" t="str">
            <v>02-02-02-008-008-09</v>
          </cell>
          <cell r="C568" t="str">
            <v>02</v>
          </cell>
          <cell r="D568" t="str">
            <v>02</v>
          </cell>
          <cell r="E568" t="str">
            <v>02</v>
          </cell>
          <cell r="F568" t="str">
            <v>008</v>
          </cell>
          <cell r="G568" t="str">
            <v>008</v>
          </cell>
          <cell r="H568" t="str">
            <v>09</v>
          </cell>
          <cell r="K568" t="str">
            <v>ADA-Otros servicios de fabricación</v>
          </cell>
        </row>
        <row r="569">
          <cell r="A569" t="str">
            <v>02020200800901</v>
          </cell>
          <cell r="B569" t="str">
            <v>02-02-02-008-009-01</v>
          </cell>
          <cell r="C569" t="str">
            <v>02</v>
          </cell>
          <cell r="D569" t="str">
            <v>02</v>
          </cell>
          <cell r="E569" t="str">
            <v>02</v>
          </cell>
          <cell r="F569" t="str">
            <v>008</v>
          </cell>
          <cell r="G569" t="str">
            <v>009</v>
          </cell>
          <cell r="H569" t="str">
            <v>01</v>
          </cell>
          <cell r="K569" t="str">
            <v>ADA-Servicios de edición, impresión y reproducción</v>
          </cell>
        </row>
        <row r="570">
          <cell r="A570" t="str">
            <v>02020200800902</v>
          </cell>
          <cell r="B570" t="str">
            <v>02-02-02-008-009-02</v>
          </cell>
          <cell r="C570" t="str">
            <v>02</v>
          </cell>
          <cell r="D570" t="str">
            <v>02</v>
          </cell>
          <cell r="E570" t="str">
            <v>02</v>
          </cell>
          <cell r="F570" t="str">
            <v>008</v>
          </cell>
          <cell r="G570" t="str">
            <v>009</v>
          </cell>
          <cell r="H570" t="str">
            <v>02</v>
          </cell>
          <cell r="K570" t="str">
            <v>ADA-Servicios de moldeado, estampado, extrusión y fabricación de productos similares de plástico</v>
          </cell>
        </row>
        <row r="571">
          <cell r="A571" t="str">
            <v>02020200800903</v>
          </cell>
          <cell r="B571" t="str">
            <v>02-02-02-008-009-03</v>
          </cell>
          <cell r="C571" t="str">
            <v>02</v>
          </cell>
          <cell r="D571" t="str">
            <v>02</v>
          </cell>
          <cell r="E571" t="str">
            <v>02</v>
          </cell>
          <cell r="F571" t="str">
            <v>008</v>
          </cell>
          <cell r="G571" t="str">
            <v>009</v>
          </cell>
          <cell r="H571" t="str">
            <v>03</v>
          </cell>
          <cell r="K571" t="str">
            <v>ADA-Servicios de fundición, forja, estampado y fabricación de productos similares de metales</v>
          </cell>
        </row>
        <row r="572">
          <cell r="A572" t="str">
            <v>02020200800904</v>
          </cell>
          <cell r="B572" t="str">
            <v>02-02-02-008-009-04</v>
          </cell>
          <cell r="C572" t="str">
            <v>02</v>
          </cell>
          <cell r="D572" t="str">
            <v>02</v>
          </cell>
          <cell r="E572" t="str">
            <v>02</v>
          </cell>
          <cell r="F572" t="str">
            <v>008</v>
          </cell>
          <cell r="G572" t="str">
            <v>009</v>
          </cell>
          <cell r="H572" t="str">
            <v>04</v>
          </cell>
          <cell r="K572" t="str">
            <v>ADA-Servicios de recuperación de materiales, a comisión o por contrato</v>
          </cell>
        </row>
        <row r="573">
          <cell r="A573" t="str">
            <v>02020200900201</v>
          </cell>
          <cell r="B573" t="str">
            <v>02-02-02-009-002-01</v>
          </cell>
          <cell r="C573" t="str">
            <v>02</v>
          </cell>
          <cell r="D573" t="str">
            <v>02</v>
          </cell>
          <cell r="E573" t="str">
            <v>02</v>
          </cell>
          <cell r="F573" t="str">
            <v>009</v>
          </cell>
          <cell r="G573" t="str">
            <v>002</v>
          </cell>
          <cell r="H573" t="str">
            <v>01</v>
          </cell>
          <cell r="K573" t="str">
            <v>ADA-Servicios de educación de la primera infancia y preescolar</v>
          </cell>
        </row>
        <row r="574">
          <cell r="A574" t="str">
            <v>02020200900202</v>
          </cell>
          <cell r="B574" t="str">
            <v>02-02-02-009-002-02</v>
          </cell>
          <cell r="C574" t="str">
            <v>02</v>
          </cell>
          <cell r="D574" t="str">
            <v>02</v>
          </cell>
          <cell r="E574" t="str">
            <v>02</v>
          </cell>
          <cell r="F574" t="str">
            <v>009</v>
          </cell>
          <cell r="G574" t="str">
            <v>002</v>
          </cell>
          <cell r="H574" t="str">
            <v>02</v>
          </cell>
          <cell r="K574" t="str">
            <v>ADA-Servicios de enseñanza primaria</v>
          </cell>
        </row>
        <row r="575">
          <cell r="A575" t="str">
            <v>02020200900203</v>
          </cell>
          <cell r="B575" t="str">
            <v>02-02-02-009-002-03</v>
          </cell>
          <cell r="C575" t="str">
            <v>02</v>
          </cell>
          <cell r="D575" t="str">
            <v>02</v>
          </cell>
          <cell r="E575" t="str">
            <v>02</v>
          </cell>
          <cell r="F575" t="str">
            <v>009</v>
          </cell>
          <cell r="G575" t="str">
            <v>002</v>
          </cell>
          <cell r="H575" t="str">
            <v>03</v>
          </cell>
          <cell r="K575" t="str">
            <v>ADA-Servicios de educación secundaria</v>
          </cell>
        </row>
        <row r="576">
          <cell r="A576" t="str">
            <v>02020200900204</v>
          </cell>
          <cell r="B576" t="str">
            <v>02-02-02-009-002-04</v>
          </cell>
          <cell r="C576" t="str">
            <v>02</v>
          </cell>
          <cell r="D576" t="str">
            <v>02</v>
          </cell>
          <cell r="E576" t="str">
            <v>02</v>
          </cell>
          <cell r="F576" t="str">
            <v>009</v>
          </cell>
          <cell r="G576" t="str">
            <v>002</v>
          </cell>
          <cell r="H576" t="str">
            <v>04</v>
          </cell>
          <cell r="K576" t="str">
            <v>ADA-Servicios de educación postsecundaria no terciaria</v>
          </cell>
        </row>
        <row r="577">
          <cell r="A577" t="str">
            <v>02020200900205</v>
          </cell>
          <cell r="B577" t="str">
            <v>02-02-02-009-002-05</v>
          </cell>
          <cell r="C577" t="str">
            <v>02</v>
          </cell>
          <cell r="D577" t="str">
            <v>02</v>
          </cell>
          <cell r="E577" t="str">
            <v>02</v>
          </cell>
          <cell r="F577" t="str">
            <v>009</v>
          </cell>
          <cell r="G577" t="str">
            <v>002</v>
          </cell>
          <cell r="H577" t="str">
            <v>05</v>
          </cell>
          <cell r="K577" t="str">
            <v>ADA-Servicios de educación superior (terciaria)</v>
          </cell>
        </row>
        <row r="578">
          <cell r="A578" t="str">
            <v>02020200900209</v>
          </cell>
          <cell r="B578" t="str">
            <v>02-02-02-009-002-09</v>
          </cell>
          <cell r="C578" t="str">
            <v>02</v>
          </cell>
          <cell r="D578" t="str">
            <v>02</v>
          </cell>
          <cell r="E578" t="str">
            <v>02</v>
          </cell>
          <cell r="F578" t="str">
            <v>009</v>
          </cell>
          <cell r="G578" t="str">
            <v>002</v>
          </cell>
          <cell r="H578" t="str">
            <v>09</v>
          </cell>
          <cell r="K578" t="str">
            <v>ADA-Otros tipos de educación y servicios de apoyo educativo</v>
          </cell>
        </row>
        <row r="579">
          <cell r="A579" t="str">
            <v>02020200900301</v>
          </cell>
          <cell r="B579" t="str">
            <v>02-02-02-009-003-01</v>
          </cell>
          <cell r="C579" t="str">
            <v>02</v>
          </cell>
          <cell r="D579" t="str">
            <v>02</v>
          </cell>
          <cell r="E579" t="str">
            <v>02</v>
          </cell>
          <cell r="F579" t="str">
            <v>009</v>
          </cell>
          <cell r="G579" t="str">
            <v>003</v>
          </cell>
          <cell r="H579" t="str">
            <v>01</v>
          </cell>
          <cell r="K579" t="str">
            <v>ADA-Servicios de salud humana</v>
          </cell>
        </row>
        <row r="580">
          <cell r="A580" t="str">
            <v>02020200900302</v>
          </cell>
          <cell r="B580" t="str">
            <v>02-02-02-009-003-02</v>
          </cell>
          <cell r="C580" t="str">
            <v>02</v>
          </cell>
          <cell r="D580" t="str">
            <v>02</v>
          </cell>
          <cell r="E580" t="str">
            <v>02</v>
          </cell>
          <cell r="F580" t="str">
            <v>009</v>
          </cell>
          <cell r="G580" t="str">
            <v>003</v>
          </cell>
          <cell r="H580" t="str">
            <v>02</v>
          </cell>
          <cell r="K580" t="str">
            <v>ADA-Servicios de atención residencial para personas mayores y con discapacidad</v>
          </cell>
        </row>
        <row r="581">
          <cell r="A581" t="str">
            <v>02020200900303</v>
          </cell>
          <cell r="B581" t="str">
            <v>02-02-02-009-003-03</v>
          </cell>
          <cell r="C581" t="str">
            <v>02</v>
          </cell>
          <cell r="D581" t="str">
            <v>02</v>
          </cell>
          <cell r="E581" t="str">
            <v>02</v>
          </cell>
          <cell r="F581" t="str">
            <v>009</v>
          </cell>
          <cell r="G581" t="str">
            <v>003</v>
          </cell>
          <cell r="H581" t="str">
            <v>03</v>
          </cell>
          <cell r="K581" t="str">
            <v>ADA-Otros servicios sociales con alojamiento</v>
          </cell>
        </row>
        <row r="582">
          <cell r="A582" t="str">
            <v>02020200900304</v>
          </cell>
          <cell r="B582" t="str">
            <v>02-02-02-009-003-04</v>
          </cell>
          <cell r="C582" t="str">
            <v>02</v>
          </cell>
          <cell r="D582" t="str">
            <v>02</v>
          </cell>
          <cell r="E582" t="str">
            <v>02</v>
          </cell>
          <cell r="F582" t="str">
            <v>009</v>
          </cell>
          <cell r="G582" t="str">
            <v>003</v>
          </cell>
          <cell r="H582" t="str">
            <v>04</v>
          </cell>
          <cell r="K582" t="str">
            <v>ADA-Servicios sociales sin alojamiento para personas mayores y con discapacidad</v>
          </cell>
        </row>
        <row r="583">
          <cell r="A583" t="str">
            <v>02020200900305</v>
          </cell>
          <cell r="B583" t="str">
            <v>02-02-02-009-003-05</v>
          </cell>
          <cell r="C583" t="str">
            <v>02</v>
          </cell>
          <cell r="D583" t="str">
            <v>02</v>
          </cell>
          <cell r="E583" t="str">
            <v>02</v>
          </cell>
          <cell r="F583" t="str">
            <v>009</v>
          </cell>
          <cell r="G583" t="str">
            <v>003</v>
          </cell>
          <cell r="H583" t="str">
            <v>05</v>
          </cell>
          <cell r="K583" t="str">
            <v>ADA-Otros servicios sociales sin alojamiento</v>
          </cell>
        </row>
        <row r="584">
          <cell r="A584" t="str">
            <v>02020200900401</v>
          </cell>
          <cell r="B584" t="str">
            <v>02-02-02-009-004-01</v>
          </cell>
          <cell r="C584" t="str">
            <v>02</v>
          </cell>
          <cell r="D584" t="str">
            <v>02</v>
          </cell>
          <cell r="E584" t="str">
            <v>02</v>
          </cell>
          <cell r="F584" t="str">
            <v>009</v>
          </cell>
          <cell r="G584" t="str">
            <v>004</v>
          </cell>
          <cell r="H584" t="str">
            <v>01</v>
          </cell>
          <cell r="K584" t="str">
            <v>ADA-Servicios de alcantarillado, servicios de limpieza, tratamiento de aguas residuales y tanques sépticos</v>
          </cell>
        </row>
        <row r="585">
          <cell r="A585" t="str">
            <v>02020200900402</v>
          </cell>
          <cell r="B585" t="str">
            <v>02-02-02-009-004-02</v>
          </cell>
          <cell r="C585" t="str">
            <v>02</v>
          </cell>
          <cell r="D585" t="str">
            <v>02</v>
          </cell>
          <cell r="E585" t="str">
            <v>02</v>
          </cell>
          <cell r="F585" t="str">
            <v>009</v>
          </cell>
          <cell r="G585" t="str">
            <v>004</v>
          </cell>
          <cell r="H585" t="str">
            <v>02</v>
          </cell>
          <cell r="K585" t="str">
            <v>ADA-Servicios de recolección de desechos</v>
          </cell>
        </row>
        <row r="586">
          <cell r="A586" t="str">
            <v>02020200900403</v>
          </cell>
          <cell r="B586" t="str">
            <v>02-02-02-009-004-03</v>
          </cell>
          <cell r="C586" t="str">
            <v>02</v>
          </cell>
          <cell r="D586" t="str">
            <v>02</v>
          </cell>
          <cell r="E586" t="str">
            <v>02</v>
          </cell>
          <cell r="F586" t="str">
            <v>009</v>
          </cell>
          <cell r="G586" t="str">
            <v>004</v>
          </cell>
          <cell r="H586" t="str">
            <v>03</v>
          </cell>
          <cell r="K586" t="str">
            <v>ADA-Servicios de tratamiento y disposición de desechos</v>
          </cell>
        </row>
        <row r="587">
          <cell r="A587" t="str">
            <v>02020200900404</v>
          </cell>
          <cell r="B587" t="str">
            <v>02-02-02-009-004-04</v>
          </cell>
          <cell r="C587" t="str">
            <v>02</v>
          </cell>
          <cell r="D587" t="str">
            <v>02</v>
          </cell>
          <cell r="E587" t="str">
            <v>02</v>
          </cell>
          <cell r="F587" t="str">
            <v>009</v>
          </cell>
          <cell r="G587" t="str">
            <v>004</v>
          </cell>
          <cell r="H587" t="str">
            <v>04</v>
          </cell>
          <cell r="K587" t="str">
            <v>ADA-Servicios de descontaminación</v>
          </cell>
        </row>
        <row r="588">
          <cell r="A588" t="str">
            <v>02020200900405</v>
          </cell>
          <cell r="B588" t="str">
            <v>02-02-02-009-004-05</v>
          </cell>
          <cell r="C588" t="str">
            <v>02</v>
          </cell>
          <cell r="D588" t="str">
            <v>02</v>
          </cell>
          <cell r="E588" t="str">
            <v>02</v>
          </cell>
          <cell r="F588" t="str">
            <v>009</v>
          </cell>
          <cell r="G588" t="str">
            <v>004</v>
          </cell>
          <cell r="H588" t="str">
            <v>05</v>
          </cell>
          <cell r="K588" t="str">
            <v>ADA-Servicios de saneamiento y similares</v>
          </cell>
        </row>
        <row r="589">
          <cell r="A589" t="str">
            <v>02020200900409</v>
          </cell>
          <cell r="B589" t="str">
            <v>02-02-02-009-004-09</v>
          </cell>
          <cell r="C589" t="str">
            <v>02</v>
          </cell>
          <cell r="D589" t="str">
            <v>02</v>
          </cell>
          <cell r="E589" t="str">
            <v>02</v>
          </cell>
          <cell r="F589" t="str">
            <v>009</v>
          </cell>
          <cell r="G589" t="str">
            <v>004</v>
          </cell>
          <cell r="H589" t="str">
            <v>09</v>
          </cell>
          <cell r="K589" t="str">
            <v>ADA-Otros servicios de protección del medio ambiente n. C. P.</v>
          </cell>
        </row>
        <row r="590">
          <cell r="A590" t="str">
            <v>02020200900501</v>
          </cell>
          <cell r="B590" t="str">
            <v>02-02-02-009-005-01</v>
          </cell>
          <cell r="C590" t="str">
            <v>02</v>
          </cell>
          <cell r="D590" t="str">
            <v>02</v>
          </cell>
          <cell r="E590" t="str">
            <v>02</v>
          </cell>
          <cell r="F590" t="str">
            <v>009</v>
          </cell>
          <cell r="G590" t="str">
            <v>005</v>
          </cell>
          <cell r="H590" t="str">
            <v>01</v>
          </cell>
          <cell r="K590" t="str">
            <v>ADA-Servicios proporcionados por organizaciones gremiales, comerciales y organizaciones de empleadores y de profesionales</v>
          </cell>
        </row>
        <row r="591">
          <cell r="A591" t="str">
            <v>02020200900502</v>
          </cell>
          <cell r="B591" t="str">
            <v>02-02-02-009-005-02</v>
          </cell>
          <cell r="C591" t="str">
            <v>02</v>
          </cell>
          <cell r="D591" t="str">
            <v>02</v>
          </cell>
          <cell r="E591" t="str">
            <v>02</v>
          </cell>
          <cell r="F591" t="str">
            <v>009</v>
          </cell>
          <cell r="G591" t="str">
            <v>005</v>
          </cell>
          <cell r="H591" t="str">
            <v>02</v>
          </cell>
          <cell r="K591" t="str">
            <v>ADA-Servicios proporcionados por sindicatos</v>
          </cell>
        </row>
        <row r="592">
          <cell r="A592" t="str">
            <v>02020200900509</v>
          </cell>
          <cell r="B592" t="str">
            <v>02-02-02-009-005-09</v>
          </cell>
          <cell r="C592" t="str">
            <v>02</v>
          </cell>
          <cell r="D592" t="str">
            <v>02</v>
          </cell>
          <cell r="E592" t="str">
            <v>02</v>
          </cell>
          <cell r="F592" t="str">
            <v>009</v>
          </cell>
          <cell r="G592" t="str">
            <v>005</v>
          </cell>
          <cell r="H592" t="str">
            <v>09</v>
          </cell>
          <cell r="K592" t="str">
            <v>ADA-Servicios proporcionados por otras asociaciones</v>
          </cell>
        </row>
        <row r="593">
          <cell r="A593" t="str">
            <v>02020200900601</v>
          </cell>
          <cell r="B593" t="str">
            <v>02-02-02-009-006-01</v>
          </cell>
          <cell r="C593" t="str">
            <v>02</v>
          </cell>
          <cell r="D593" t="str">
            <v>02</v>
          </cell>
          <cell r="E593" t="str">
            <v>02</v>
          </cell>
          <cell r="F593" t="str">
            <v>009</v>
          </cell>
          <cell r="G593" t="str">
            <v>006</v>
          </cell>
          <cell r="H593" t="str">
            <v>01</v>
          </cell>
          <cell r="K593" t="str">
            <v>ADA-Servicios audiovisuales y servicios conexos</v>
          </cell>
        </row>
        <row r="594">
          <cell r="A594" t="str">
            <v>02020200900602</v>
          </cell>
          <cell r="B594" t="str">
            <v>02-02-02-009-006-02</v>
          </cell>
          <cell r="C594" t="str">
            <v>02</v>
          </cell>
          <cell r="D594" t="str">
            <v>02</v>
          </cell>
          <cell r="E594" t="str">
            <v>02</v>
          </cell>
          <cell r="F594" t="str">
            <v>009</v>
          </cell>
          <cell r="G594" t="str">
            <v>006</v>
          </cell>
          <cell r="H594" t="str">
            <v>02</v>
          </cell>
          <cell r="K594" t="str">
            <v>ADA-Servicios de promoción y presentación de artes escénicas y eventos de entretenimiento en vivo</v>
          </cell>
        </row>
        <row r="595">
          <cell r="A595" t="str">
            <v>02020200900603</v>
          </cell>
          <cell r="B595" t="str">
            <v>02-02-02-009-006-03</v>
          </cell>
          <cell r="C595" t="str">
            <v>02</v>
          </cell>
          <cell r="D595" t="str">
            <v>02</v>
          </cell>
          <cell r="E595" t="str">
            <v>02</v>
          </cell>
          <cell r="F595" t="str">
            <v>009</v>
          </cell>
          <cell r="G595" t="str">
            <v>006</v>
          </cell>
          <cell r="H595" t="str">
            <v>03</v>
          </cell>
          <cell r="K595" t="str">
            <v>ADA-Servicios relacionados con actores y otros artistas</v>
          </cell>
        </row>
        <row r="596">
          <cell r="A596" t="str">
            <v>02020200900604</v>
          </cell>
          <cell r="B596" t="str">
            <v>02-02-02-009-006-04</v>
          </cell>
          <cell r="C596" t="str">
            <v>02</v>
          </cell>
          <cell r="D596" t="str">
            <v>02</v>
          </cell>
          <cell r="E596" t="str">
            <v>02</v>
          </cell>
          <cell r="F596" t="str">
            <v>009</v>
          </cell>
          <cell r="G596" t="str">
            <v>006</v>
          </cell>
          <cell r="H596" t="str">
            <v>04</v>
          </cell>
          <cell r="K596" t="str">
            <v>ADA-Servicios de preservación y museos</v>
          </cell>
        </row>
        <row r="597">
          <cell r="A597" t="str">
            <v>02020200900605</v>
          </cell>
          <cell r="B597" t="str">
            <v>02-02-02-009-006-05</v>
          </cell>
          <cell r="C597" t="str">
            <v>02</v>
          </cell>
          <cell r="D597" t="str">
            <v>02</v>
          </cell>
          <cell r="E597" t="str">
            <v>02</v>
          </cell>
          <cell r="F597" t="str">
            <v>009</v>
          </cell>
          <cell r="G597" t="str">
            <v>006</v>
          </cell>
          <cell r="H597" t="str">
            <v>05</v>
          </cell>
          <cell r="K597" t="str">
            <v>ADA-Servicios deportivos y deportes recreativos</v>
          </cell>
        </row>
        <row r="598">
          <cell r="A598" t="str">
            <v>02020200900606</v>
          </cell>
          <cell r="B598" t="str">
            <v>02-02-02-009-006-06</v>
          </cell>
          <cell r="C598" t="str">
            <v>02</v>
          </cell>
          <cell r="D598" t="str">
            <v>02</v>
          </cell>
          <cell r="E598" t="str">
            <v>02</v>
          </cell>
          <cell r="F598" t="str">
            <v>009</v>
          </cell>
          <cell r="G598" t="str">
            <v>006</v>
          </cell>
          <cell r="H598" t="str">
            <v>06</v>
          </cell>
          <cell r="K598" t="str">
            <v>ADA-Servicios de atletas y servicios de auxiliares conexos</v>
          </cell>
        </row>
        <row r="599">
          <cell r="A599" t="str">
            <v>02020200900609</v>
          </cell>
          <cell r="B599" t="str">
            <v>02-02-02-009-006-09</v>
          </cell>
          <cell r="C599" t="str">
            <v>02</v>
          </cell>
          <cell r="D599" t="str">
            <v>02</v>
          </cell>
          <cell r="E599" t="str">
            <v>02</v>
          </cell>
          <cell r="F599" t="str">
            <v>009</v>
          </cell>
          <cell r="G599" t="str">
            <v>006</v>
          </cell>
          <cell r="H599" t="str">
            <v>09</v>
          </cell>
          <cell r="K599" t="str">
            <v>ADA-Otros servicios de esparcimiento y diversión</v>
          </cell>
        </row>
        <row r="600">
          <cell r="A600" t="str">
            <v>02020200900701</v>
          </cell>
          <cell r="B600" t="str">
            <v>02-02-02-009-007-01</v>
          </cell>
          <cell r="C600" t="str">
            <v>02</v>
          </cell>
          <cell r="D600" t="str">
            <v>02</v>
          </cell>
          <cell r="E600" t="str">
            <v>02</v>
          </cell>
          <cell r="F600" t="str">
            <v>009</v>
          </cell>
          <cell r="G600" t="str">
            <v>007</v>
          </cell>
          <cell r="H600" t="str">
            <v>01</v>
          </cell>
          <cell r="K600" t="str">
            <v>ADA-Servicios de lavado, limpieza y teñido</v>
          </cell>
        </row>
        <row r="601">
          <cell r="A601" t="str">
            <v>02020200900702</v>
          </cell>
          <cell r="B601" t="str">
            <v>02-02-02-009-007-02</v>
          </cell>
          <cell r="C601" t="str">
            <v>02</v>
          </cell>
          <cell r="D601" t="str">
            <v>02</v>
          </cell>
          <cell r="E601" t="str">
            <v>02</v>
          </cell>
          <cell r="F601" t="str">
            <v>009</v>
          </cell>
          <cell r="G601" t="str">
            <v>007</v>
          </cell>
          <cell r="H601" t="str">
            <v>02</v>
          </cell>
          <cell r="K601" t="str">
            <v>ADA-Servicios de tratamientos de belleza y de bienestar físico</v>
          </cell>
        </row>
        <row r="602">
          <cell r="A602" t="str">
            <v>02020200900703</v>
          </cell>
          <cell r="B602" t="str">
            <v>02-02-02-009-007-03</v>
          </cell>
          <cell r="C602" t="str">
            <v>02</v>
          </cell>
          <cell r="D602" t="str">
            <v>02</v>
          </cell>
          <cell r="E602" t="str">
            <v>02</v>
          </cell>
          <cell r="F602" t="str">
            <v>009</v>
          </cell>
          <cell r="G602" t="str">
            <v>007</v>
          </cell>
          <cell r="H602" t="str">
            <v>03</v>
          </cell>
          <cell r="K602" t="str">
            <v>ADA-Servicios funerarios, de cremación y de sepultura</v>
          </cell>
        </row>
        <row r="603">
          <cell r="A603" t="str">
            <v>02020200900709</v>
          </cell>
          <cell r="B603" t="str">
            <v>02-02-02-009-007-09</v>
          </cell>
          <cell r="C603" t="str">
            <v>02</v>
          </cell>
          <cell r="D603" t="str">
            <v>02</v>
          </cell>
          <cell r="E603" t="str">
            <v>02</v>
          </cell>
          <cell r="F603" t="str">
            <v>009</v>
          </cell>
          <cell r="G603" t="str">
            <v>007</v>
          </cell>
          <cell r="H603" t="str">
            <v>09</v>
          </cell>
          <cell r="K603" t="str">
            <v>ADA-Otros servicios diversos n. C. P.</v>
          </cell>
        </row>
        <row r="604">
          <cell r="A604" t="str">
            <v>020202009009</v>
          </cell>
          <cell r="B604" t="str">
            <v>02-02-02-009-009</v>
          </cell>
          <cell r="C604" t="str">
            <v>02</v>
          </cell>
          <cell r="D604" t="str">
            <v>02</v>
          </cell>
          <cell r="E604" t="str">
            <v>02</v>
          </cell>
          <cell r="F604" t="str">
            <v>009</v>
          </cell>
          <cell r="G604" t="str">
            <v>009</v>
          </cell>
          <cell r="K604" t="str">
            <v>ADA-Servicios prestados por organizaciones y organismos extraterritoriales</v>
          </cell>
        </row>
        <row r="605">
          <cell r="A605" t="str">
            <v>020202010</v>
          </cell>
          <cell r="B605" t="str">
            <v>02-02-02-010</v>
          </cell>
          <cell r="C605" t="str">
            <v>02</v>
          </cell>
          <cell r="D605" t="str">
            <v>02</v>
          </cell>
          <cell r="E605" t="str">
            <v>02</v>
          </cell>
          <cell r="F605" t="str">
            <v>010</v>
          </cell>
          <cell r="K605" t="str">
            <v>ADA-Viáticos de los funcionarios en comisión</v>
          </cell>
        </row>
        <row r="606">
          <cell r="A606" t="str">
            <v>020203</v>
          </cell>
          <cell r="B606" t="str">
            <v>02-02-03</v>
          </cell>
          <cell r="C606" t="str">
            <v>02</v>
          </cell>
          <cell r="D606" t="str">
            <v>02</v>
          </cell>
          <cell r="E606" t="str">
            <v>03</v>
          </cell>
          <cell r="K606" t="str">
            <v>ADA-Gastos imprevistos</v>
          </cell>
        </row>
        <row r="607">
          <cell r="A607" t="str">
            <v>020204</v>
          </cell>
          <cell r="B607" t="str">
            <v>02-02-04</v>
          </cell>
          <cell r="C607" t="str">
            <v>02</v>
          </cell>
          <cell r="D607" t="str">
            <v>02</v>
          </cell>
          <cell r="E607" t="str">
            <v>04</v>
          </cell>
          <cell r="K607" t="str">
            <v>ADA-Gastos reservados</v>
          </cell>
        </row>
        <row r="608">
          <cell r="A608" t="str">
            <v>080101001</v>
          </cell>
          <cell r="B608" t="str">
            <v>08-01-01-001</v>
          </cell>
          <cell r="C608" t="str">
            <v>08</v>
          </cell>
          <cell r="D608" t="str">
            <v>01</v>
          </cell>
          <cell r="E608" t="str">
            <v>01</v>
          </cell>
          <cell r="F608" t="str">
            <v>001</v>
          </cell>
          <cell r="K608" t="str">
            <v>Impuesto nacional al consumo</v>
          </cell>
        </row>
        <row r="609">
          <cell r="A609" t="str">
            <v>080101002</v>
          </cell>
          <cell r="B609" t="str">
            <v>08-01-01-002</v>
          </cell>
          <cell r="C609" t="str">
            <v>08</v>
          </cell>
          <cell r="D609" t="str">
            <v>01</v>
          </cell>
          <cell r="E609" t="str">
            <v>01</v>
          </cell>
          <cell r="F609" t="str">
            <v>002</v>
          </cell>
          <cell r="K609" t="str">
            <v>Impuesto sobre la renta para la equidad cree</v>
          </cell>
        </row>
        <row r="610">
          <cell r="A610" t="str">
            <v>080101003</v>
          </cell>
          <cell r="B610" t="str">
            <v>08-01-01-003</v>
          </cell>
          <cell r="C610" t="str">
            <v>08</v>
          </cell>
          <cell r="D610" t="str">
            <v>01</v>
          </cell>
          <cell r="E610" t="str">
            <v>01</v>
          </cell>
          <cell r="F610" t="str">
            <v>003</v>
          </cell>
          <cell r="K610" t="str">
            <v>Impuestos sobre la renta y complementarios</v>
          </cell>
        </row>
        <row r="611">
          <cell r="A611" t="str">
            <v>080101004</v>
          </cell>
          <cell r="B611" t="str">
            <v>08-01-01-004</v>
          </cell>
          <cell r="C611" t="str">
            <v>08</v>
          </cell>
          <cell r="D611" t="str">
            <v>01</v>
          </cell>
          <cell r="E611" t="str">
            <v>01</v>
          </cell>
          <cell r="F611" t="str">
            <v>004</v>
          </cell>
          <cell r="K611" t="str">
            <v>Impuesto a la riqueza</v>
          </cell>
        </row>
        <row r="612">
          <cell r="A612" t="str">
            <v>080102001</v>
          </cell>
          <cell r="B612" t="str">
            <v>08-01-02-001</v>
          </cell>
          <cell r="C612" t="str">
            <v>08</v>
          </cell>
          <cell r="D612" t="str">
            <v>01</v>
          </cell>
          <cell r="E612" t="str">
            <v>02</v>
          </cell>
          <cell r="F612" t="str">
            <v>001</v>
          </cell>
          <cell r="K612" t="str">
            <v>Impuesto predial</v>
          </cell>
        </row>
        <row r="613">
          <cell r="A613" t="str">
            <v>080102002</v>
          </cell>
          <cell r="B613" t="str">
            <v>08-01-02-002</v>
          </cell>
          <cell r="C613" t="str">
            <v>08</v>
          </cell>
          <cell r="D613" t="str">
            <v>01</v>
          </cell>
          <cell r="E613" t="str">
            <v>02</v>
          </cell>
          <cell r="F613" t="str">
            <v>002</v>
          </cell>
          <cell r="K613" t="str">
            <v>Impuesto de delineación urbana</v>
          </cell>
        </row>
        <row r="614">
          <cell r="A614" t="str">
            <v>080102003</v>
          </cell>
          <cell r="B614" t="str">
            <v>08-01-02-003</v>
          </cell>
          <cell r="C614" t="str">
            <v>08</v>
          </cell>
          <cell r="D614" t="str">
            <v>01</v>
          </cell>
          <cell r="E614" t="str">
            <v>02</v>
          </cell>
          <cell r="F614" t="str">
            <v>003</v>
          </cell>
          <cell r="K614" t="str">
            <v>Impuesto de industria y comercio</v>
          </cell>
        </row>
        <row r="615">
          <cell r="A615" t="str">
            <v>080102004</v>
          </cell>
          <cell r="B615" t="str">
            <v>08-01-02-004</v>
          </cell>
          <cell r="C615" t="str">
            <v>08</v>
          </cell>
          <cell r="D615" t="str">
            <v>01</v>
          </cell>
          <cell r="E615" t="str">
            <v>02</v>
          </cell>
          <cell r="F615" t="str">
            <v>004</v>
          </cell>
          <cell r="K615" t="str">
            <v>Impuesto de alumbrado público</v>
          </cell>
        </row>
        <row r="616">
          <cell r="A616" t="str">
            <v>080102005</v>
          </cell>
          <cell r="B616" t="str">
            <v>08-01-02-005</v>
          </cell>
          <cell r="C616" t="str">
            <v>08</v>
          </cell>
          <cell r="D616" t="str">
            <v>01</v>
          </cell>
          <cell r="E616" t="str">
            <v>02</v>
          </cell>
          <cell r="F616" t="str">
            <v>005</v>
          </cell>
          <cell r="K616" t="str">
            <v>Impuesto de registro</v>
          </cell>
        </row>
        <row r="617">
          <cell r="A617" t="str">
            <v>080102006</v>
          </cell>
          <cell r="B617" t="str">
            <v>08-01-02-006</v>
          </cell>
          <cell r="C617" t="str">
            <v>08</v>
          </cell>
          <cell r="D617" t="str">
            <v>01</v>
          </cell>
          <cell r="E617" t="str">
            <v>02</v>
          </cell>
          <cell r="F617" t="str">
            <v>006</v>
          </cell>
          <cell r="K617" t="str">
            <v>Impuesto sobre vehículos automotores</v>
          </cell>
        </row>
        <row r="618">
          <cell r="A618" t="str">
            <v>080103001</v>
          </cell>
          <cell r="B618" t="str">
            <v>08-01-03-001</v>
          </cell>
          <cell r="C618" t="str">
            <v>08</v>
          </cell>
          <cell r="D618" t="str">
            <v>01</v>
          </cell>
          <cell r="E618" t="str">
            <v>03</v>
          </cell>
          <cell r="F618" t="str">
            <v>001</v>
          </cell>
          <cell r="K618" t="str">
            <v>Impuestos a favor de gobiernos extranjeros</v>
          </cell>
        </row>
        <row r="619">
          <cell r="A619" t="str">
            <v>0802</v>
          </cell>
          <cell r="B619" t="str">
            <v>08-02</v>
          </cell>
          <cell r="C619" t="str">
            <v>08</v>
          </cell>
          <cell r="D619" t="str">
            <v>02</v>
          </cell>
          <cell r="K619" t="str">
            <v>Estampillas</v>
          </cell>
        </row>
        <row r="620">
          <cell r="A620" t="str">
            <v>0803</v>
          </cell>
          <cell r="B620" t="str">
            <v>08-03</v>
          </cell>
          <cell r="C620" t="str">
            <v>08</v>
          </cell>
          <cell r="D620" t="str">
            <v>03</v>
          </cell>
          <cell r="K620" t="str">
            <v>Tasas y derechos administrativos</v>
          </cell>
        </row>
        <row r="621">
          <cell r="A621" t="str">
            <v>080401</v>
          </cell>
          <cell r="B621" t="str">
            <v>08-04-01</v>
          </cell>
          <cell r="C621" t="str">
            <v>08</v>
          </cell>
          <cell r="D621" t="str">
            <v>04</v>
          </cell>
          <cell r="E621" t="str">
            <v>01</v>
          </cell>
          <cell r="K621" t="str">
            <v>Cuota de fiscalización y auditaje</v>
          </cell>
        </row>
        <row r="622">
          <cell r="A622" t="str">
            <v>080402</v>
          </cell>
          <cell r="B622" t="str">
            <v>08-04-02</v>
          </cell>
          <cell r="C622" t="str">
            <v>08</v>
          </cell>
          <cell r="D622" t="str">
            <v>04</v>
          </cell>
          <cell r="E622" t="str">
            <v>02</v>
          </cell>
          <cell r="K622" t="str">
            <v>superintendencia financiera de colombia</v>
          </cell>
        </row>
        <row r="623">
          <cell r="A623" t="str">
            <v>080403</v>
          </cell>
          <cell r="B623" t="str">
            <v>08-04-03</v>
          </cell>
          <cell r="C623" t="str">
            <v>08</v>
          </cell>
          <cell r="D623" t="str">
            <v>04</v>
          </cell>
          <cell r="E623" t="str">
            <v>03</v>
          </cell>
          <cell r="K623" t="str">
            <v>Contribución nacional de valorización</v>
          </cell>
        </row>
        <row r="624">
          <cell r="A624" t="str">
            <v>080404</v>
          </cell>
          <cell r="B624" t="str">
            <v>08-04-04</v>
          </cell>
          <cell r="C624" t="str">
            <v>08</v>
          </cell>
          <cell r="D624" t="str">
            <v>04</v>
          </cell>
          <cell r="E624" t="str">
            <v>04</v>
          </cell>
          <cell r="K624" t="str">
            <v>Contribución de valorización municipal</v>
          </cell>
        </row>
        <row r="625">
          <cell r="A625" t="str">
            <v>080501001</v>
          </cell>
          <cell r="B625" t="str">
            <v>08-05-01-001</v>
          </cell>
          <cell r="C625" t="str">
            <v>08</v>
          </cell>
          <cell r="D625" t="str">
            <v>05</v>
          </cell>
          <cell r="E625" t="str">
            <v>01</v>
          </cell>
          <cell r="F625" t="str">
            <v>001</v>
          </cell>
          <cell r="K625" t="str">
            <v>Multas superintendencias</v>
          </cell>
        </row>
        <row r="626">
          <cell r="A626" t="str">
            <v>080501002</v>
          </cell>
          <cell r="B626" t="str">
            <v>08-05-01-002</v>
          </cell>
          <cell r="C626" t="str">
            <v>08</v>
          </cell>
          <cell r="D626" t="str">
            <v>05</v>
          </cell>
          <cell r="E626" t="str">
            <v>01</v>
          </cell>
          <cell r="F626" t="str">
            <v>002</v>
          </cell>
          <cell r="K626" t="str">
            <v>Sanciones contractuales</v>
          </cell>
        </row>
        <row r="627">
          <cell r="A627" t="str">
            <v>080501003</v>
          </cell>
          <cell r="B627" t="str">
            <v>08-05-01-003</v>
          </cell>
          <cell r="C627" t="str">
            <v>08</v>
          </cell>
          <cell r="D627" t="str">
            <v>05</v>
          </cell>
          <cell r="E627" t="str">
            <v>01</v>
          </cell>
          <cell r="F627" t="str">
            <v>003</v>
          </cell>
          <cell r="K627" t="str">
            <v>Sanciones administrativas</v>
          </cell>
        </row>
        <row r="628">
          <cell r="A628" t="str">
            <v>080502001</v>
          </cell>
          <cell r="B628" t="str">
            <v>08-05-02-001</v>
          </cell>
          <cell r="C628" t="str">
            <v>08</v>
          </cell>
          <cell r="D628" t="str">
            <v>05</v>
          </cell>
          <cell r="E628" t="str">
            <v>02</v>
          </cell>
          <cell r="F628" t="str">
            <v>001</v>
          </cell>
          <cell r="K628" t="str">
            <v>Impuestos, contribuciones y tasas</v>
          </cell>
        </row>
        <row r="629">
          <cell r="A629" t="str">
            <v>1502-0100-26-0-1502009-02</v>
          </cell>
          <cell r="B629" t="str">
            <v>1502-0100-26-0-1502009-02</v>
          </cell>
          <cell r="C629" t="str">
            <v>1502</v>
          </cell>
          <cell r="D629" t="str">
            <v>0100</v>
          </cell>
          <cell r="E629" t="str">
            <v>26</v>
          </cell>
          <cell r="F629" t="str">
            <v>0</v>
          </cell>
          <cell r="G629" t="str">
            <v>1502009</v>
          </cell>
          <cell r="H629" t="str">
            <v>02</v>
          </cell>
          <cell r="K629" t="str">
            <v>ADQUISICIÓN DE BIENES Y SERVICIOS - CAPACIDAD DE FUEGOS AÉREOS - FORTALECIMIENTO DE LAS CAPACIDADES  DE FUEGOS AÉREOS PARA LA SEGURIDAD Y DEFENSA A NIVEL   NACIONAL</v>
          </cell>
        </row>
        <row r="630">
          <cell r="A630" t="str">
            <v>1502-0100-27-0-1502080-02</v>
          </cell>
          <cell r="B630" t="str">
            <v>1502-0100-27-0-1502080-02</v>
          </cell>
          <cell r="C630" t="str">
            <v>1502</v>
          </cell>
          <cell r="D630" t="str">
            <v>0100</v>
          </cell>
          <cell r="E630" t="str">
            <v>27</v>
          </cell>
          <cell r="F630" t="str">
            <v>0</v>
          </cell>
          <cell r="G630" t="str">
            <v>1502080</v>
          </cell>
          <cell r="H630" t="str">
            <v>02</v>
          </cell>
          <cell r="K630" t="str">
            <v>ADQUISICIÓN DE BIENES Y SERVICIOS - EQUIPO AÉREO ADQUIRIDO - RENOVACIÓN Y MODERNIZACIÓN DEL EQUIPO AERONÁUTICO DE LA FAC A NIVEL  NACIONAL</v>
          </cell>
        </row>
        <row r="631">
          <cell r="A631" t="str">
            <v>1502-0100-28-0-1502136-02</v>
          </cell>
          <cell r="B631" t="str">
            <v>1502-0100-28-0-1502136-02</v>
          </cell>
          <cell r="C631" t="str">
            <v>1502</v>
          </cell>
          <cell r="D631" t="str">
            <v>0100</v>
          </cell>
          <cell r="E631" t="str">
            <v>28</v>
          </cell>
          <cell r="F631" t="str">
            <v>0</v>
          </cell>
          <cell r="G631" t="str">
            <v>1502136</v>
          </cell>
          <cell r="H631" t="str">
            <v>02</v>
          </cell>
          <cell r="K631" t="str">
            <v>ADQUISICIÓN DE BIENES Y SERVICIOS - SERVICIO DE MANTENIMIENTO AERONÁUTICO - FORTALECIMIENTO DE LA CAPACIDAD DE MANTENIMIENTO AERONÁUTICO PARA LAS AERONAVES Y COMPONENTES DE LA FAC A NIVEL  NACIONAL</v>
          </cell>
        </row>
        <row r="632">
          <cell r="A632" t="str">
            <v>1502-0100-29-0-1502137-02</v>
          </cell>
          <cell r="B632" t="str">
            <v>1502-0100-29-0-1502137-02</v>
          </cell>
          <cell r="C632" t="str">
            <v>1502</v>
          </cell>
          <cell r="D632" t="str">
            <v>0100</v>
          </cell>
          <cell r="E632" t="str">
            <v>29</v>
          </cell>
          <cell r="F632" t="str">
            <v>0</v>
          </cell>
          <cell r="G632" t="str">
            <v>1502137</v>
          </cell>
          <cell r="H632" t="str">
            <v>02</v>
          </cell>
          <cell r="K632" t="str">
            <v>ADQUISICIÓN DE BIENES Y SERVICIOS - SERVICIO DE CONTROL DEL ESPACIO AÉREO - FORTALECIMIENTO DEL MANDO Y CONTROL DE LA FUERZA AÉREA COLOMBIANA A NIVEL  NACIONAL</v>
          </cell>
        </row>
        <row r="633">
          <cell r="A633" t="str">
            <v>1502-0100-29-0-1502133-02</v>
          </cell>
          <cell r="B633" t="str">
            <v>1502-0100-29-0-1502133-02</v>
          </cell>
          <cell r="C633" t="str">
            <v>1502</v>
          </cell>
          <cell r="D633" t="str">
            <v>0100</v>
          </cell>
          <cell r="E633" t="str">
            <v>29</v>
          </cell>
          <cell r="F633" t="str">
            <v>0</v>
          </cell>
          <cell r="G633" t="str">
            <v>1502133</v>
          </cell>
          <cell r="H633" t="str">
            <v>02</v>
          </cell>
          <cell r="K633" t="str">
            <v>ADQUISICIÓN DE BIENES Y SERVICIOS - SERVICIOS DE COMUNICACIONES Y CONTROL DEL ESPACIO AÉREO - FORTALECIMIENTO DEL MANDO Y CONTROL DE LA FUERZA AÉREA COLOMBIANA A NIVEL  NACIONAL</v>
          </cell>
        </row>
        <row r="634">
          <cell r="A634" t="str">
            <v>1502-0100-30-0-1502113-02</v>
          </cell>
          <cell r="B634" t="str">
            <v>1502-0100-30-0-1502113-02</v>
          </cell>
          <cell r="C634" t="str">
            <v>1502</v>
          </cell>
          <cell r="D634" t="str">
            <v>0100</v>
          </cell>
          <cell r="E634" t="str">
            <v>30</v>
          </cell>
          <cell r="F634" t="str">
            <v>0</v>
          </cell>
          <cell r="G634" t="str">
            <v>1502113</v>
          </cell>
          <cell r="H634" t="str">
            <v>02</v>
          </cell>
          <cell r="K634" t="str">
            <v>ADQUISICIÓN DE BIENES Y SERVICIOS - SERVICIOS DE INFORMACIÓN DE INTELIGENCIA - FORTALECIMIENTO DE LA INTELIGENCIA,CONTRAINTELIGENCIA Y CIBERINTELIGENCIA DE LA FAC  NACIONAL</v>
          </cell>
        </row>
        <row r="635">
          <cell r="A635" t="str">
            <v>1502-0100-30-0-1502123-02</v>
          </cell>
          <cell r="B635" t="str">
            <v>1502-0100-30-0-1502123-02</v>
          </cell>
          <cell r="C635" t="str">
            <v>1502</v>
          </cell>
          <cell r="D635" t="str">
            <v>0100</v>
          </cell>
          <cell r="E635" t="str">
            <v>30</v>
          </cell>
          <cell r="F635" t="str">
            <v>0</v>
          </cell>
          <cell r="G635" t="str">
            <v>1502123</v>
          </cell>
          <cell r="H635" t="str">
            <v>02</v>
          </cell>
          <cell r="K635" t="str">
            <v>ADQUISICIÓN DE BIENES Y SERVICIOS - CENTROS DE OPERACIONES CIBERNÉTICAS CONSTRUIDOS Y DOTADOS - FORTALECIMIENTO DE LA INTELIGENCIA,CONTRAINTELIGENCIA Y CIBERINTELIGENCIA DE LA FAC  NACIONAL</v>
          </cell>
        </row>
        <row r="636">
          <cell r="A636" t="str">
            <v>1502-0100-31-0-1502122-02</v>
          </cell>
          <cell r="B636" t="str">
            <v>1502-0100-31-0-1502122-02</v>
          </cell>
          <cell r="C636" t="str">
            <v>1502</v>
          </cell>
          <cell r="D636" t="str">
            <v>0100</v>
          </cell>
          <cell r="E636" t="str">
            <v>31</v>
          </cell>
          <cell r="F636" t="str">
            <v>0</v>
          </cell>
          <cell r="G636" t="str">
            <v>1502122</v>
          </cell>
          <cell r="H636" t="str">
            <v>02</v>
          </cell>
          <cell r="K636" t="str">
            <v>ADQUISICIÓN DE BIENES Y SERVICIOS - SERVICIO DE INFORMACIÓN METEREOLÓGICOY CARTOGRÁFICO PARA LA NAVEGACIÓN AÉREA - FORTALECIMIENTO Y SOPORTE DE LOS SERVICIOS A LA NAVEGACION AÉREA DE LA FUERZA AÉREA PARA LA AVIACIÓN DE ESTADO A NIVEL  NACIONAL</v>
          </cell>
        </row>
        <row r="637">
          <cell r="A637" t="str">
            <v>1502-0100-32-0-1502090-02</v>
          </cell>
          <cell r="B637" t="str">
            <v>1502-0100-32-0-1502090-02</v>
          </cell>
          <cell r="C637" t="str">
            <v>1502</v>
          </cell>
          <cell r="D637" t="str">
            <v>0100</v>
          </cell>
          <cell r="E637" t="str">
            <v>32</v>
          </cell>
          <cell r="F637" t="str">
            <v>0</v>
          </cell>
          <cell r="G637" t="str">
            <v>1502090</v>
          </cell>
          <cell r="H637" t="str">
            <v>02</v>
          </cell>
          <cell r="K637" t="str">
            <v>ADQUISICIÓN DE BIENES Y SERVICIOS - INFRAESTRUCTURA DE SOPORTE CONSTRUIDA - AMPLIACIÓN Y MODERNIZACIÓN DE LOS SISTEMAS DE COMBUSTIBLE DE AVIACIÓN EN LAS UNIDADES FAC A NIVEL  NACIONAL</v>
          </cell>
        </row>
        <row r="638">
          <cell r="A638" t="str">
            <v>1502-0100-32-0-1502134-02</v>
          </cell>
          <cell r="B638" t="str">
            <v>1502-0100-32-0-1502134-02</v>
          </cell>
          <cell r="C638" t="str">
            <v>1502</v>
          </cell>
          <cell r="D638" t="str">
            <v>0100</v>
          </cell>
          <cell r="E638" t="str">
            <v>32</v>
          </cell>
          <cell r="F638" t="str">
            <v>0</v>
          </cell>
          <cell r="G638" t="str">
            <v>1502134</v>
          </cell>
          <cell r="H638" t="str">
            <v>02</v>
          </cell>
          <cell r="K638" t="str">
            <v>ADQUISICIÓN DE BIENES Y SERVICIOS - INFRAESTRUCTURA DE SOPORTE ADECUADA - AMPLIACIÓN Y MODERNIZACIÓN DE LOS SISTEMAS DE COMBUSTIBLE DE AVIACIÓN EN LAS UNIDADES FAC A NIVEL  NACIONAL</v>
          </cell>
        </row>
        <row r="639">
          <cell r="A639" t="str">
            <v>1502-0100-33-0-1502131-02</v>
          </cell>
          <cell r="B639" t="str">
            <v>1502-0100-33-0-1502131-02</v>
          </cell>
          <cell r="C639" t="str">
            <v>1502</v>
          </cell>
          <cell r="D639" t="str">
            <v>0100</v>
          </cell>
          <cell r="E639" t="str">
            <v>33</v>
          </cell>
          <cell r="F639" t="str">
            <v>0</v>
          </cell>
          <cell r="G639" t="str">
            <v>1502131</v>
          </cell>
          <cell r="H639" t="str">
            <v>02</v>
          </cell>
          <cell r="K639" t="str">
            <v>ADQUISICIÓN DE BIENES Y SERVICIOS - CENTROS Y LABORATORIOS ADECUADOS Y DOTADOS - MEJORAMIENTO DE LA INVESTIGACIÓN, CIENCIA Y TECNOLOGÍA EN LA FUERZA AÉREA A NIVEL   NACIONAL</v>
          </cell>
        </row>
        <row r="640">
          <cell r="A640" t="str">
            <v>1502-0100-33-0-1502111-02</v>
          </cell>
          <cell r="B640" t="str">
            <v>1502-0100-33-0-1502111-02</v>
          </cell>
          <cell r="C640" t="str">
            <v>1502</v>
          </cell>
          <cell r="D640" t="str">
            <v>0100</v>
          </cell>
          <cell r="E640" t="str">
            <v>33</v>
          </cell>
          <cell r="F640" t="str">
            <v>0</v>
          </cell>
          <cell r="G640" t="str">
            <v>1502111</v>
          </cell>
          <cell r="H640" t="str">
            <v>02</v>
          </cell>
          <cell r="K640" t="str">
            <v>ADQUISICIÓN DE BIENES Y SERVICIOS - SERVICIO DE INVESTIGACIÓN, DESARROLLO TECNOLÓGICO  E INNOVACIÓN - MEJORAMIENTO DE LA INVESTIGACIÓN, CIENCIA Y TECNOLOGÍA EN LA FUERZA AÉREA A NIVEL   NACIONAL</v>
          </cell>
        </row>
        <row r="641">
          <cell r="A641" t="str">
            <v>1502-0100-34-0-1502091-02</v>
          </cell>
          <cell r="B641" t="str">
            <v>1502-0100-34-0-1502091-02</v>
          </cell>
          <cell r="C641" t="str">
            <v>1502</v>
          </cell>
          <cell r="D641" t="str">
            <v>0100</v>
          </cell>
          <cell r="E641" t="str">
            <v>34</v>
          </cell>
          <cell r="F641" t="str">
            <v>0</v>
          </cell>
          <cell r="G641" t="str">
            <v>1502091</v>
          </cell>
          <cell r="H641" t="str">
            <v>02</v>
          </cell>
          <cell r="K641" t="str">
            <v>ADQUISICIÓN DE BIENES Y SERVICIOS - INFRAESTRUCTURA DE SOPORTE CON MANTENIMIENTO MAYOR - FORTALECIMIENTO DE LA INFRAESTRUCTURA EN LA FUERZA AÉREA COLOMBIANA CON EL FIN DE SOPORTAR LAS OPERACIONES AÉREAS A NIVEL   NACIONAL</v>
          </cell>
        </row>
        <row r="642">
          <cell r="A642" t="str">
            <v>1502-0100-34-0-1502090-02</v>
          </cell>
          <cell r="B642" t="str">
            <v>1502-0100-34-0-1502090-02</v>
          </cell>
          <cell r="C642" t="str">
            <v>1502</v>
          </cell>
          <cell r="D642" t="str">
            <v>0100</v>
          </cell>
          <cell r="E642" t="str">
            <v>34</v>
          </cell>
          <cell r="F642" t="str">
            <v>0</v>
          </cell>
          <cell r="G642" t="str">
            <v>1502090</v>
          </cell>
          <cell r="H642" t="str">
            <v>02</v>
          </cell>
          <cell r="K642" t="str">
            <v>ADQUISICIÓN DE BIENES Y SERVICIOS - INFRAESTRUCTURA DE SOPORTE CONSTRUIDA - FORTALECIMIENTO DE LA INFRAESTRUCTURA EN LA FUERZA AÉREA COLOMBIANA CON EL FIN DE SOPORTAR LAS OPERACIONES AÉREAS A NIVEL   NACIONAL</v>
          </cell>
        </row>
        <row r="643">
          <cell r="A643" t="str">
            <v>1502-0100-34-0-1502089-02</v>
          </cell>
          <cell r="B643" t="str">
            <v>1502-0100-34-0-1502089-02</v>
          </cell>
          <cell r="C643" t="str">
            <v>1502</v>
          </cell>
          <cell r="D643" t="str">
            <v>0100</v>
          </cell>
          <cell r="E643" t="str">
            <v>34</v>
          </cell>
          <cell r="F643" t="str">
            <v>0</v>
          </cell>
          <cell r="G643" t="str">
            <v>1502089</v>
          </cell>
          <cell r="H643" t="str">
            <v>02</v>
          </cell>
          <cell r="K643" t="str">
            <v>ADQUISICIÓN DE BIENES Y SERVICIOS - INFRAESTRUCTURA OPERACIONAL CON MANTENIMIENTO MAYOR - FORTALECIMIENTO DE LA INFRAESTRUCTURA EN LA FUERZA AÉREA COLOMBIANA CON EL FIN DE SOPORTAR LAS OPERACIONES AÉREAS A NIVEL   NACIONAL</v>
          </cell>
        </row>
        <row r="644">
          <cell r="A644" t="str">
            <v>1502-0100-34-0-1502088-02</v>
          </cell>
          <cell r="B644" t="str">
            <v>1502-0100-34-0-1502088-02</v>
          </cell>
          <cell r="C644" t="str">
            <v>1502</v>
          </cell>
          <cell r="D644" t="str">
            <v>0100</v>
          </cell>
          <cell r="E644" t="str">
            <v>34</v>
          </cell>
          <cell r="F644" t="str">
            <v>0</v>
          </cell>
          <cell r="G644" t="str">
            <v>1502088</v>
          </cell>
          <cell r="H644" t="str">
            <v>02</v>
          </cell>
          <cell r="K644" t="str">
            <v>ADQUISICIÓN DE BIENES Y SERVICIOS - INFRAESTRUCTURA ESTRATÉGICA OPERACIONAL CONSTRUIDA - FORTALECIMIENTO DE LA INFRAESTRUCTURA EN LA FUERZA AÉREA COLOMBIANA CON EL FIN DE SOPORTAR LAS OPERACIONES AÉREAS A NIVEL   NACIONAL</v>
          </cell>
        </row>
        <row r="645">
          <cell r="A645" t="str">
            <v>1502-0100-35-0-1502141-02</v>
          </cell>
          <cell r="B645" t="str">
            <v>1502-0100-35-0-1502141-02</v>
          </cell>
          <cell r="C645" t="str">
            <v>1502</v>
          </cell>
          <cell r="D645" t="str">
            <v>0100</v>
          </cell>
          <cell r="E645" t="str">
            <v>35</v>
          </cell>
          <cell r="F645" t="str">
            <v>0</v>
          </cell>
          <cell r="G645" t="str">
            <v>1502141</v>
          </cell>
          <cell r="H645" t="str">
            <v>02</v>
          </cell>
          <cell r="K645" t="str">
            <v>ADQUISICIÓN DE BIENES Y SERVICIOS - EQUIPOS MILITARES DE INGENIERÍA ADQUIRIDOS  - FORTALECIMIENTO Y RENOVACIÓN DE LA CAPACIDAD DE MOVILIDAD TERRESTRE Y DESPLIEGUE DE LA FUERZA AÉREA COLOMBIANA A NIVEL  NACIONAL</v>
          </cell>
        </row>
        <row r="646">
          <cell r="A646" t="str">
            <v>1502-0100-35-0-1502129-02</v>
          </cell>
          <cell r="B646" t="str">
            <v>1502-0100-35-0-1502129-02</v>
          </cell>
          <cell r="C646" t="str">
            <v>1502</v>
          </cell>
          <cell r="D646" t="str">
            <v>0100</v>
          </cell>
          <cell r="E646" t="str">
            <v>35</v>
          </cell>
          <cell r="F646" t="str">
            <v>0</v>
          </cell>
          <cell r="G646" t="str">
            <v>1502129</v>
          </cell>
          <cell r="H646" t="str">
            <v>02</v>
          </cell>
          <cell r="K646" t="str">
            <v>ADQUISICIÓN DE BIENES Y SERVICIOS - SERVICIO DE DOTACION PARA EL DESPLIEGUE OPERACIONAL DE LA FUERZA - FORTALECIMIENTO Y RENOVACIÓN DE LA CAPACIDAD DE MOVILIDAD TERRESTRE Y DESPLIEGUE DE LA FUERZA AÉREA COLOMBIANA A NIVEL  NACIONAL</v>
          </cell>
        </row>
        <row r="647">
          <cell r="A647" t="str">
            <v>1502-0100-35-0-1502130-02</v>
          </cell>
          <cell r="B647" t="str">
            <v>1502-0100-35-0-1502130-02</v>
          </cell>
          <cell r="C647" t="str">
            <v>1502</v>
          </cell>
          <cell r="D647" t="str">
            <v>0100</v>
          </cell>
          <cell r="E647" t="str">
            <v>35</v>
          </cell>
          <cell r="F647" t="str">
            <v>0</v>
          </cell>
          <cell r="G647" t="str">
            <v>1502130</v>
          </cell>
          <cell r="H647" t="str">
            <v>02</v>
          </cell>
          <cell r="K647" t="str">
            <v>ADQUISICIÓN DE BIENES Y SERVICIOS - SERVICIO DE EXTINCIÓN DE INCENDIOS EN EL DESARROLLO DE OPERACIONES AÉREAS - FORTALECIMIENTO Y RENOVACIÓN DE LA CAPACIDAD DE MOVILIDAD TERRESTRE Y DESPLIEGUE DE LA FUERZA AÉREA COLOMBIANA A NIVEL  NACIONAL</v>
          </cell>
        </row>
        <row r="648">
          <cell r="A648" t="str">
            <v>1502-0100-35-0-1502140-02</v>
          </cell>
          <cell r="B648" t="str">
            <v>1502-0100-35-0-1502140-02</v>
          </cell>
          <cell r="C648" t="str">
            <v>1502</v>
          </cell>
          <cell r="D648" t="str">
            <v>0100</v>
          </cell>
          <cell r="E648" t="str">
            <v>35</v>
          </cell>
          <cell r="F648" t="str">
            <v>0</v>
          </cell>
          <cell r="G648" t="str">
            <v>1502140</v>
          </cell>
          <cell r="H648" t="str">
            <v>02</v>
          </cell>
          <cell r="K648" t="str">
            <v>ADQUISICIÓN DE BIENES Y SERVICIOS - SERVICIO DE DOTACIÓN PARA LA MOVILIDAD OPERACIONAL Y EL APOYO LOGÍSTICO - FORTALECIMIENTO Y RENOVACIÓN DE LA CAPACIDAD DE MOVILIDAD TERRESTRE Y DESPLIEGUE DE LA FUERZA AÉREA COLOMBIANA A NIVEL  NACIONAL</v>
          </cell>
        </row>
        <row r="649">
          <cell r="A649" t="str">
            <v>1502-0100-36-0-1502090-02</v>
          </cell>
          <cell r="B649" t="str">
            <v>1502-0100-36-0-1502090-02</v>
          </cell>
          <cell r="C649" t="str">
            <v>1502</v>
          </cell>
          <cell r="D649" t="str">
            <v>0100</v>
          </cell>
          <cell r="E649" t="str">
            <v>36</v>
          </cell>
          <cell r="F649" t="str">
            <v>0</v>
          </cell>
          <cell r="G649" t="str">
            <v>1502090</v>
          </cell>
          <cell r="H649" t="str">
            <v>02</v>
          </cell>
          <cell r="K649" t="str">
            <v>ADQUISICIÓN DE BIENES Y SERVICIOS - INFRAESTRUCTURA DE SOPORTE CONSTRUIDA - INCREMENTO Y RECUPERACIÓN DEL ALOJAMIENTO MILITAR EN LA FUERZA AÉREA COLOMBIANA CON EL FIN DE SOPORTAR LAS OPERACIONES AÉREAS A NIVEL   NACIONAL</v>
          </cell>
        </row>
        <row r="650">
          <cell r="A650" t="str">
            <v>1502-0100-36-0-1502091-02</v>
          </cell>
          <cell r="B650" t="str">
            <v>1502-0100-36-0-1502091-02</v>
          </cell>
          <cell r="C650" t="str">
            <v>1502</v>
          </cell>
          <cell r="D650" t="str">
            <v>0100</v>
          </cell>
          <cell r="E650" t="str">
            <v>36</v>
          </cell>
          <cell r="F650" t="str">
            <v>0</v>
          </cell>
          <cell r="G650" t="str">
            <v>1502091</v>
          </cell>
          <cell r="H650" t="str">
            <v>02</v>
          </cell>
          <cell r="K650" t="str">
            <v>ADQUISICIÓN DE BIENES Y SERVICIOS - INFRAESTRUCTURA DE SOPORTE CON MANTENIMIENTO MAYOR - INCREMENTO Y RECUPERACIÓN DEL ALOJAMIENTO MILITAR EN LA FUERZA AÉREA COLOMBIANA CON EL FIN DE SOPORTAR LAS OPERACIONES AÉREAS A NIVEL   NACIONAL</v>
          </cell>
        </row>
        <row r="651">
          <cell r="A651" t="str">
            <v>1502-0100-37-0-1502086-02</v>
          </cell>
          <cell r="B651" t="str">
            <v>1502-0100-37-0-1502086-02</v>
          </cell>
          <cell r="C651" t="str">
            <v>1502</v>
          </cell>
          <cell r="D651" t="str">
            <v>0100</v>
          </cell>
          <cell r="E651" t="str">
            <v>37</v>
          </cell>
          <cell r="F651" t="str">
            <v>0</v>
          </cell>
          <cell r="G651" t="str">
            <v>1502086</v>
          </cell>
          <cell r="H651" t="str">
            <v>02</v>
          </cell>
          <cell r="K651" t="str">
            <v>ADQUISICIÓN DE BIENES Y SERVICIOS - SERVICIO DE DOTACIÓN DE ARMAMENTO - INCREMENTO DE LA CAPACIDAD DE SEGURIDAD Y DEFENSA DE LA FUERZA AEREA COLOMBIANA  NACIONAL</v>
          </cell>
        </row>
        <row r="652">
          <cell r="A652" t="str">
            <v>1502-0100-37-0-1502128-02</v>
          </cell>
          <cell r="B652" t="str">
            <v>1502-0100-37-0-1502128-02</v>
          </cell>
          <cell r="C652" t="str">
            <v>1502</v>
          </cell>
          <cell r="D652" t="str">
            <v>0100</v>
          </cell>
          <cell r="E652" t="str">
            <v>37</v>
          </cell>
          <cell r="F652" t="str">
            <v>0</v>
          </cell>
          <cell r="G652" t="str">
            <v>1502128</v>
          </cell>
          <cell r="H652" t="str">
            <v>02</v>
          </cell>
          <cell r="K652" t="str">
            <v>ADQUISICIÓN DE BIENES Y SERVICIOS - SERVICIO DE SEGURIDAD Y DEFENSA DE LAS UNIDADES MILITARES - INCREMENTO DE LA CAPACIDAD DE SEGURIDAD Y DEFENSA DE LA FUERZA AEREA COLOMBIANA  NACIONAL</v>
          </cell>
        </row>
        <row r="653">
          <cell r="A653" t="str">
            <v>1502-0100-38-0-1502132-02</v>
          </cell>
          <cell r="B653" t="str">
            <v>1502-0100-38-0-1502132-02</v>
          </cell>
          <cell r="C653" t="str">
            <v>1502</v>
          </cell>
          <cell r="D653" t="str">
            <v>0100</v>
          </cell>
          <cell r="E653" t="str">
            <v>38</v>
          </cell>
          <cell r="F653" t="str">
            <v>0</v>
          </cell>
          <cell r="G653" t="str">
            <v>1502132</v>
          </cell>
          <cell r="H653" t="str">
            <v>02</v>
          </cell>
          <cell r="K653" t="str">
            <v>ADQUISICIÓN DE BIENES Y SERVICIOS - SERVICIO DE EDUCACIÓN FORMAL - FORTALECIMIENTO DE LA CALIDAD EDUCATIVA DE LAS INSTITUCIONES DE EDUCACIÓN SUPERIOR Y SUS PROGRAMAS EN LA FUERZA AÉREA COLOMBIANA  NACIONAL</v>
          </cell>
        </row>
        <row r="654">
          <cell r="A654" t="str">
            <v>1502-0100-39-0-1502135-02</v>
          </cell>
          <cell r="B654" t="str">
            <v>1502-0100-39-0-1502135-02</v>
          </cell>
          <cell r="C654" t="str">
            <v>1502</v>
          </cell>
          <cell r="D654" t="str">
            <v>0100</v>
          </cell>
          <cell r="E654" t="str">
            <v>39</v>
          </cell>
          <cell r="F654" t="str">
            <v>0</v>
          </cell>
          <cell r="G654" t="str">
            <v>1502135</v>
          </cell>
          <cell r="H654" t="str">
            <v>02</v>
          </cell>
          <cell r="K654" t="str">
            <v>ADQUISICIÓN DE BIENES Y SERVICIOS - SERVICIO DE ACTUALIZACIÓN DEL SISTEMA DE ARMAS - FORTALECIMIENTO DE LOS SISTEMAS DE ARMAS, AUTO PROTECCIÓN Y SUMINISTRO DE ARMAMENTO AÉREO PARA LA FAC A NIVEL  NACIONAL</v>
          </cell>
        </row>
        <row r="655">
          <cell r="A655" t="str">
            <v>1502-0100-39-0-1502089-02</v>
          </cell>
          <cell r="B655" t="str">
            <v>1502-0100-39-0-1502089-02</v>
          </cell>
          <cell r="C655" t="str">
            <v>1502</v>
          </cell>
          <cell r="D655" t="str">
            <v>0100</v>
          </cell>
          <cell r="E655" t="str">
            <v>39</v>
          </cell>
          <cell r="F655" t="str">
            <v>0</v>
          </cell>
          <cell r="G655" t="str">
            <v>1502089</v>
          </cell>
          <cell r="H655" t="str">
            <v>02</v>
          </cell>
          <cell r="K655" t="str">
            <v>ADQUISICIÓN DE BIENES Y SERVICIOS - INFRAESTRUCTURA OPERACIONAL CON MANTENIMIENTO MAYOR - FORTALECIMIENTO DE LOS SISTEMAS DE ARMAS, AUTO PROTECCIÓN Y SUMINISTRO DE ARMAMENTO AÉREO PARA LA FAC A NIVEL  NACIONAL</v>
          </cell>
        </row>
        <row r="656">
          <cell r="A656" t="str">
            <v>1502-0100-40-0-1502148-02</v>
          </cell>
          <cell r="B656" t="str">
            <v>1502-0100-40-0-1502148-02</v>
          </cell>
          <cell r="C656" t="str">
            <v>1502</v>
          </cell>
          <cell r="D656" t="str">
            <v>0100</v>
          </cell>
          <cell r="E656" t="str">
            <v>40</v>
          </cell>
          <cell r="F656" t="str">
            <v>0</v>
          </cell>
          <cell r="G656" t="str">
            <v>1502148</v>
          </cell>
          <cell r="H656" t="str">
            <v>02</v>
          </cell>
          <cell r="K656" t="str">
            <v>ADQUISICIÓN DE BIENES Y SERVICIOS - SERVICIO DE ENTRENAMIENTO POR SIMULACIÓN - FORTALECIMIENTO DE LAS HABILIDADES TECNICAS DEL PERSONAL DE LA FUERZA AEREA COLOMBIANA A NIVEL  NACIONAL</v>
          </cell>
        </row>
        <row r="657">
          <cell r="A657" t="str">
            <v>1599-0100-1-0-1599076-02</v>
          </cell>
          <cell r="B657" t="str">
            <v>1599-0100-1-0-1599076-02</v>
          </cell>
          <cell r="C657" t="str">
            <v>1599</v>
          </cell>
          <cell r="D657" t="str">
            <v>0100</v>
          </cell>
          <cell r="E657" t="str">
            <v>1</v>
          </cell>
          <cell r="F657" t="str">
            <v>0</v>
          </cell>
          <cell r="G657" t="str">
            <v>1599076</v>
          </cell>
          <cell r="H657" t="str">
            <v>02</v>
          </cell>
          <cell r="K657" t="str">
            <v>ADQUISICIÓN DE BIENES Y SERVICIOS - SERVICIOS TECNOLÓGICOS - FORTALECIMIENTO DE LA PLATAFORMA TECNOLÓGICA PARA EL ACCESO A RECURSOS Y SERVICIOS TIC E IMPLEMENTACIÓN DE NUEVAS TECNOLOGÍAS EN LA FUERZA AÉREA COLOMBIANA A NIVEL   NACIONAL</v>
          </cell>
        </row>
        <row r="658">
          <cell r="A658" t="str">
            <v>1599-0100-2-0-1599069-02</v>
          </cell>
          <cell r="B658" t="str">
            <v>1599-0100-2-0-1599069-02</v>
          </cell>
          <cell r="C658" t="str">
            <v>1599</v>
          </cell>
          <cell r="D658" t="str">
            <v>0100</v>
          </cell>
          <cell r="E658" t="str">
            <v>2</v>
          </cell>
          <cell r="F658" t="str">
            <v>0</v>
          </cell>
          <cell r="G658" t="str">
            <v>1599069</v>
          </cell>
          <cell r="H658" t="str">
            <v>02</v>
          </cell>
          <cell r="K658" t="str">
            <v>ADQUISICIÓN DE BIENES Y SERVICIOS - SERVICIO DE EDUCACIÓN INFORMAL PARA LA GESTIÓN ADMINISTRATIVA - FORTALECIMIENTO DE LAS COMPETENCIAS FORMATIVAS Y LABORALES DEL PERSONAL MILITAR DE LA FUERZA AÉREA COLOMBIANA A NIVEL  NACIONAL</v>
          </cell>
        </row>
        <row r="659">
          <cell r="A659" t="str">
            <v>1599-0100-2-0-1599068-02</v>
          </cell>
          <cell r="B659" t="str">
            <v>1599-0100-2-0-1599068-02</v>
          </cell>
          <cell r="C659" t="str">
            <v>1599</v>
          </cell>
          <cell r="D659" t="str">
            <v>0100</v>
          </cell>
          <cell r="E659" t="str">
            <v>2</v>
          </cell>
          <cell r="F659" t="str">
            <v>0</v>
          </cell>
          <cell r="G659" t="str">
            <v>1599068</v>
          </cell>
          <cell r="H659" t="str">
            <v>02</v>
          </cell>
          <cell r="K659" t="str">
            <v>ADQUISICIÓN DE BIENES Y SERVICIOS - SERVICIO DE APOYO FINANCIERO PARA EL FORTALECIMIENTO DEL TALENTO HUMANO - FORTALECIMIENTO DE LAS COMPETENCIAS FORMATIVAS Y LABORALES DEL PERSONAL MILITAR DE LA FUERZA AÉREA COLOMBIANA A NIVEL  NACIONAL</v>
          </cell>
        </row>
      </sheetData>
      <sheetData sheetId="4"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7" Type="http://schemas.openxmlformats.org/officeDocument/2006/relationships/image" Target="../media/image2.png"/><Relationship Id="rId2" Type="http://schemas.openxmlformats.org/officeDocument/2006/relationships/drawing" Target="../drawings/drawing1.xml"/><Relationship Id="rId1" Type="http://schemas.openxmlformats.org/officeDocument/2006/relationships/printerSettings" Target="../printerSettings/printerSettings1.bin"/><Relationship Id="rId6" Type="http://schemas.openxmlformats.org/officeDocument/2006/relationships/oleObject" Target="../embeddings/oleObject2.bin"/><Relationship Id="rId5" Type="http://schemas.openxmlformats.org/officeDocument/2006/relationships/image" Target="../media/image1.png"/><Relationship Id="rId4" Type="http://schemas.openxmlformats.org/officeDocument/2006/relationships/oleObject" Target="../embeddings/oleObject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8" tint="0.59999389629810485"/>
  </sheetPr>
  <dimension ref="A1:V125"/>
  <sheetViews>
    <sheetView view="pageBreakPreview" zoomScale="130" zoomScaleNormal="124" zoomScaleSheetLayoutView="130" workbookViewId="0">
      <pane xSplit="6" ySplit="3" topLeftCell="G92" activePane="bottomRight" state="frozen"/>
      <selection pane="topRight" activeCell="E1" sqref="E1"/>
      <selection pane="bottomLeft" activeCell="A4" sqref="A4"/>
      <selection pane="bottomRight" activeCell="D92" sqref="D92"/>
    </sheetView>
  </sheetViews>
  <sheetFormatPr baseColWidth="10" defaultRowHeight="12" x14ac:dyDescent="0.2"/>
  <cols>
    <col min="1" max="1" width="4.5703125" style="78" bestFit="1" customWidth="1"/>
    <col min="2" max="4" width="39.85546875" style="83" customWidth="1"/>
    <col min="5" max="5" width="10.5703125" style="83" customWidth="1"/>
    <col min="6" max="7" width="15.7109375" style="83" customWidth="1"/>
    <col min="8" max="9" width="15.7109375" style="84" customWidth="1"/>
    <col min="10" max="10" width="14.42578125" style="85" customWidth="1"/>
    <col min="11" max="11" width="16.28515625" style="85" customWidth="1"/>
    <col min="12" max="12" width="16" style="85" customWidth="1"/>
    <col min="13" max="13" width="14.7109375" style="85" customWidth="1"/>
    <col min="14" max="14" width="16" style="85" customWidth="1"/>
    <col min="15" max="15" width="14.7109375" style="85" bestFit="1" customWidth="1"/>
    <col min="16" max="17" width="15.7109375" style="85" customWidth="1"/>
    <col min="18" max="19" width="15.7109375" style="84" customWidth="1"/>
    <col min="20" max="20" width="2.7109375" style="2" customWidth="1"/>
    <col min="21" max="21" width="15.7109375" style="85" customWidth="1"/>
    <col min="22" max="16384" width="11.42578125" style="3"/>
  </cols>
  <sheetData>
    <row r="1" spans="1:21" ht="16.5" customHeight="1" x14ac:dyDescent="0.2">
      <c r="A1" s="289" t="s">
        <v>0</v>
      </c>
      <c r="B1" s="289" t="s">
        <v>1</v>
      </c>
      <c r="C1" s="291" t="s">
        <v>2</v>
      </c>
      <c r="D1" s="289" t="s">
        <v>3</v>
      </c>
      <c r="E1" s="289" t="s">
        <v>4</v>
      </c>
      <c r="F1" s="289" t="s">
        <v>5</v>
      </c>
      <c r="G1" s="289" t="s">
        <v>6</v>
      </c>
      <c r="H1" s="290" t="s">
        <v>7</v>
      </c>
      <c r="I1" s="290" t="s">
        <v>8</v>
      </c>
      <c r="J1" s="290" t="s">
        <v>9</v>
      </c>
      <c r="K1" s="290"/>
      <c r="L1" s="288" t="s">
        <v>10</v>
      </c>
      <c r="M1" s="288"/>
      <c r="N1" s="288" t="s">
        <v>11</v>
      </c>
      <c r="O1" s="288"/>
      <c r="P1" s="287" t="s">
        <v>12</v>
      </c>
      <c r="Q1" s="287" t="s">
        <v>13</v>
      </c>
      <c r="R1" s="288" t="s">
        <v>14</v>
      </c>
      <c r="S1" s="1" t="s">
        <v>15</v>
      </c>
      <c r="U1" s="288" t="s">
        <v>16</v>
      </c>
    </row>
    <row r="2" spans="1:21" x14ac:dyDescent="0.2">
      <c r="A2" s="289"/>
      <c r="B2" s="289"/>
      <c r="C2" s="292"/>
      <c r="D2" s="289"/>
      <c r="E2" s="289"/>
      <c r="F2" s="289"/>
      <c r="G2" s="289"/>
      <c r="H2" s="290"/>
      <c r="I2" s="290"/>
      <c r="J2" s="4" t="s">
        <v>17</v>
      </c>
      <c r="K2" s="4" t="s">
        <v>18</v>
      </c>
      <c r="L2" s="5" t="s">
        <v>17</v>
      </c>
      <c r="M2" s="5" t="s">
        <v>18</v>
      </c>
      <c r="N2" s="5" t="s">
        <v>17</v>
      </c>
      <c r="O2" s="5" t="s">
        <v>18</v>
      </c>
      <c r="P2" s="287"/>
      <c r="Q2" s="287"/>
      <c r="R2" s="288"/>
      <c r="S2" s="1"/>
      <c r="U2" s="288"/>
    </row>
    <row r="3" spans="1:21" x14ac:dyDescent="0.2">
      <c r="A3" s="284" t="s">
        <v>19</v>
      </c>
      <c r="B3" s="285"/>
      <c r="C3" s="285"/>
      <c r="D3" s="285"/>
      <c r="E3" s="285"/>
      <c r="F3" s="286"/>
      <c r="G3" s="6"/>
      <c r="H3" s="7"/>
      <c r="I3" s="7"/>
      <c r="J3" s="8">
        <f t="shared" ref="J3:S3" si="0">SUM(J4:J4)</f>
        <v>953700.51</v>
      </c>
      <c r="K3" s="8">
        <f t="shared" si="0"/>
        <v>953700.51</v>
      </c>
      <c r="L3" s="8">
        <f t="shared" si="0"/>
        <v>0</v>
      </c>
      <c r="M3" s="8">
        <f t="shared" si="0"/>
        <v>0</v>
      </c>
      <c r="N3" s="8">
        <f t="shared" si="0"/>
        <v>0</v>
      </c>
      <c r="O3" s="8">
        <f t="shared" si="0"/>
        <v>0</v>
      </c>
      <c r="P3" s="9">
        <f>+P4</f>
        <v>953700.51</v>
      </c>
      <c r="Q3" s="8">
        <f>SUM(Q4:Q4)</f>
        <v>953700.51</v>
      </c>
      <c r="R3" s="8">
        <f>SUM(R4:R4)</f>
        <v>953700.51</v>
      </c>
      <c r="S3" s="8">
        <f t="shared" si="0"/>
        <v>953700.51</v>
      </c>
      <c r="U3" s="8">
        <f>SUM(U4:U4)</f>
        <v>0</v>
      </c>
    </row>
    <row r="4" spans="1:21" s="19" customFormat="1" ht="258.75" x14ac:dyDescent="0.2">
      <c r="A4" s="10">
        <v>1</v>
      </c>
      <c r="B4" s="11" t="s">
        <v>20</v>
      </c>
      <c r="C4" s="11"/>
      <c r="D4" s="12" t="s">
        <v>21</v>
      </c>
      <c r="E4" s="13" t="s">
        <v>22</v>
      </c>
      <c r="F4" s="10">
        <v>1</v>
      </c>
      <c r="G4" s="10" t="s">
        <v>23</v>
      </c>
      <c r="H4" s="14">
        <v>5000000</v>
      </c>
      <c r="I4" s="14">
        <f>F4*H4</f>
        <v>5000000</v>
      </c>
      <c r="J4" s="15">
        <f>801429*1.19</f>
        <v>953700.51</v>
      </c>
      <c r="K4" s="16">
        <f>+J4*F4</f>
        <v>953700.51</v>
      </c>
      <c r="L4" s="17"/>
      <c r="M4" s="15"/>
      <c r="N4" s="17"/>
      <c r="O4" s="15"/>
      <c r="P4" s="15">
        <f>AVERAGE(K4,M4,O4)</f>
        <v>953700.51</v>
      </c>
      <c r="Q4" s="15">
        <f>+MIN(K4,M4,O4)</f>
        <v>953700.51</v>
      </c>
      <c r="R4" s="14">
        <f>MEDIAN(K4,M4,O4)</f>
        <v>953700.51</v>
      </c>
      <c r="S4" s="14">
        <f>GEOMEAN(K4,M4,O4)</f>
        <v>953700.51</v>
      </c>
      <c r="T4" s="18"/>
      <c r="U4" s="15"/>
    </row>
    <row r="5" spans="1:21" x14ac:dyDescent="0.2">
      <c r="A5" s="284" t="s">
        <v>24</v>
      </c>
      <c r="B5" s="285"/>
      <c r="C5" s="285"/>
      <c r="D5" s="285"/>
      <c r="E5" s="285"/>
      <c r="F5" s="286"/>
      <c r="G5" s="6"/>
      <c r="H5" s="7"/>
      <c r="I5" s="7"/>
      <c r="J5" s="8">
        <f t="shared" ref="J5:U5" si="1">SUM(J6:J9)</f>
        <v>11185469.259999998</v>
      </c>
      <c r="K5" s="8">
        <f t="shared" si="1"/>
        <v>11185469.259999998</v>
      </c>
      <c r="L5" s="8">
        <f t="shared" si="1"/>
        <v>4129749.8200000003</v>
      </c>
      <c r="M5" s="8">
        <f t="shared" si="1"/>
        <v>4129749.8200000003</v>
      </c>
      <c r="N5" s="8">
        <f t="shared" si="1"/>
        <v>1271396</v>
      </c>
      <c r="O5" s="8">
        <f t="shared" si="1"/>
        <v>1271396</v>
      </c>
      <c r="P5" s="8">
        <f t="shared" si="1"/>
        <v>7133171.581666667</v>
      </c>
      <c r="Q5" s="8">
        <f t="shared" si="1"/>
        <v>2739998.8000000003</v>
      </c>
      <c r="R5" s="8">
        <f t="shared" si="1"/>
        <v>6084295.665</v>
      </c>
      <c r="S5" s="8">
        <f t="shared" si="1"/>
        <v>5489925.7595054256</v>
      </c>
      <c r="T5" s="8">
        <f t="shared" si="1"/>
        <v>0</v>
      </c>
      <c r="U5" s="8">
        <f t="shared" si="1"/>
        <v>0</v>
      </c>
    </row>
    <row r="6" spans="1:21" ht="141" customHeight="1" x14ac:dyDescent="0.2">
      <c r="A6" s="20">
        <v>2</v>
      </c>
      <c r="B6" s="21" t="s">
        <v>25</v>
      </c>
      <c r="C6" s="21"/>
      <c r="D6" s="22" t="s">
        <v>26</v>
      </c>
      <c r="E6" s="23" t="s">
        <v>22</v>
      </c>
      <c r="F6" s="20">
        <v>1</v>
      </c>
      <c r="G6" s="20" t="s">
        <v>23</v>
      </c>
      <c r="H6" s="24">
        <v>2381373</v>
      </c>
      <c r="I6" s="24">
        <f>F6*H6</f>
        <v>2381373</v>
      </c>
      <c r="J6" s="25">
        <f>133613*1.19</f>
        <v>158999.47</v>
      </c>
      <c r="K6" s="26">
        <f t="shared" ref="K6:K63" si="2">+J6*F6</f>
        <v>158999.47</v>
      </c>
      <c r="L6" s="27">
        <f>1301471*1.19</f>
        <v>1548750.49</v>
      </c>
      <c r="M6" s="28">
        <f t="shared" ref="M6:M9" si="3">+L6*F6</f>
        <v>1548750.49</v>
      </c>
      <c r="N6" s="27"/>
      <c r="O6" s="28"/>
      <c r="P6" s="29">
        <f t="shared" ref="P6:P9" si="4">AVERAGE(K6,M6,O6)</f>
        <v>853874.98</v>
      </c>
      <c r="Q6" s="28">
        <f t="shared" ref="Q6:Q9" si="5">+MIN(K6,M6,O6)</f>
        <v>158999.47</v>
      </c>
      <c r="R6" s="24">
        <f t="shared" ref="R6:R83" si="6">MEDIAN(K6,M6,O6)</f>
        <v>853874.98</v>
      </c>
      <c r="S6" s="24">
        <f t="shared" ref="S6:S9" si="7">GEOMEAN(K6,M6,O6)</f>
        <v>496236.34195032541</v>
      </c>
      <c r="T6" s="30"/>
      <c r="U6" s="28"/>
    </row>
    <row r="7" spans="1:21" ht="141" customHeight="1" x14ac:dyDescent="0.2">
      <c r="A7" s="20">
        <v>3</v>
      </c>
      <c r="B7" s="21" t="s">
        <v>27</v>
      </c>
      <c r="C7" s="21"/>
      <c r="D7" s="22" t="s">
        <v>28</v>
      </c>
      <c r="E7" s="23" t="s">
        <v>22</v>
      </c>
      <c r="F7" s="20">
        <v>1</v>
      </c>
      <c r="G7" s="20" t="s">
        <v>23</v>
      </c>
      <c r="H7" s="24">
        <v>2188121</v>
      </c>
      <c r="I7" s="24">
        <f t="shared" ref="I7:I15" si="8">F7*H7</f>
        <v>2188121</v>
      </c>
      <c r="J7" s="28">
        <f>5005714*1.19</f>
        <v>5956799.6600000001</v>
      </c>
      <c r="K7" s="26">
        <f t="shared" si="2"/>
        <v>5956799.6600000001</v>
      </c>
      <c r="L7" s="27">
        <f>1648109*1.19</f>
        <v>1961249.71</v>
      </c>
      <c r="M7" s="28">
        <f t="shared" si="3"/>
        <v>1961249.71</v>
      </c>
      <c r="N7" s="27"/>
      <c r="O7" s="28"/>
      <c r="P7" s="28">
        <f t="shared" si="4"/>
        <v>3959024.6850000001</v>
      </c>
      <c r="Q7" s="28">
        <f t="shared" si="5"/>
        <v>1961249.71</v>
      </c>
      <c r="R7" s="24">
        <f t="shared" si="6"/>
        <v>3959024.6850000001</v>
      </c>
      <c r="S7" s="24">
        <f t="shared" si="7"/>
        <v>3418006.963963517</v>
      </c>
      <c r="T7" s="30"/>
      <c r="U7" s="28"/>
    </row>
    <row r="8" spans="1:21" ht="225" x14ac:dyDescent="0.2">
      <c r="A8" s="20">
        <v>4</v>
      </c>
      <c r="B8" s="21" t="s">
        <v>29</v>
      </c>
      <c r="C8" s="21"/>
      <c r="D8" s="31" t="s">
        <v>30</v>
      </c>
      <c r="E8" s="23" t="s">
        <v>22</v>
      </c>
      <c r="F8" s="20">
        <v>1</v>
      </c>
      <c r="G8" s="20" t="s">
        <v>31</v>
      </c>
      <c r="H8" s="24">
        <v>6307000</v>
      </c>
      <c r="I8" s="24">
        <f t="shared" si="8"/>
        <v>6307000</v>
      </c>
      <c r="J8" s="28">
        <f>4144286*1.19</f>
        <v>4931700.34</v>
      </c>
      <c r="K8" s="26">
        <f t="shared" si="2"/>
        <v>4931700.34</v>
      </c>
      <c r="L8" s="27">
        <f>472584*1.19</f>
        <v>562374.96</v>
      </c>
      <c r="M8" s="28">
        <f t="shared" si="3"/>
        <v>562374.96</v>
      </c>
      <c r="N8" s="27">
        <f>1007733.33*1.19</f>
        <v>1199202.6627</v>
      </c>
      <c r="O8" s="28">
        <f t="shared" ref="O8:O9" si="9">+N8*F8</f>
        <v>1199202.6627</v>
      </c>
      <c r="P8" s="28">
        <f t="shared" si="4"/>
        <v>2231092.6542333332</v>
      </c>
      <c r="Q8" s="28">
        <f t="shared" si="5"/>
        <v>562374.96</v>
      </c>
      <c r="R8" s="24">
        <f t="shared" si="6"/>
        <v>1199202.6627</v>
      </c>
      <c r="S8" s="24">
        <f t="shared" si="7"/>
        <v>1492697.2974317814</v>
      </c>
      <c r="T8" s="30"/>
      <c r="U8" s="28"/>
    </row>
    <row r="9" spans="1:21" ht="229.5" customHeight="1" x14ac:dyDescent="0.2">
      <c r="A9" s="20">
        <v>5</v>
      </c>
      <c r="B9" s="21" t="s">
        <v>32</v>
      </c>
      <c r="C9" s="21"/>
      <c r="D9" s="22" t="s">
        <v>33</v>
      </c>
      <c r="E9" s="23" t="s">
        <v>22</v>
      </c>
      <c r="F9" s="20">
        <v>1</v>
      </c>
      <c r="G9" s="20" t="s">
        <v>31</v>
      </c>
      <c r="H9" s="24">
        <v>220150</v>
      </c>
      <c r="I9" s="24">
        <f t="shared" si="8"/>
        <v>220150</v>
      </c>
      <c r="J9" s="28">
        <f>115941*1.19</f>
        <v>137969.79</v>
      </c>
      <c r="K9" s="26">
        <f t="shared" si="2"/>
        <v>137969.79</v>
      </c>
      <c r="L9" s="27">
        <f>48214*1.19</f>
        <v>57374.659999999996</v>
      </c>
      <c r="M9" s="28">
        <f t="shared" si="3"/>
        <v>57374.659999999996</v>
      </c>
      <c r="N9" s="27">
        <f>60666.67*1.19</f>
        <v>72193.337299999999</v>
      </c>
      <c r="O9" s="28">
        <f t="shared" si="9"/>
        <v>72193.337299999999</v>
      </c>
      <c r="P9" s="28">
        <f t="shared" si="4"/>
        <v>89179.262433333337</v>
      </c>
      <c r="Q9" s="28">
        <f t="shared" si="5"/>
        <v>57374.659999999996</v>
      </c>
      <c r="R9" s="24">
        <f t="shared" si="6"/>
        <v>72193.337299999999</v>
      </c>
      <c r="S9" s="24">
        <f t="shared" si="7"/>
        <v>82985.156159801976</v>
      </c>
      <c r="T9" s="30"/>
      <c r="U9" s="28"/>
    </row>
    <row r="10" spans="1:21" x14ac:dyDescent="0.2">
      <c r="A10" s="284" t="s">
        <v>34</v>
      </c>
      <c r="B10" s="285"/>
      <c r="C10" s="285"/>
      <c r="D10" s="285"/>
      <c r="E10" s="285"/>
      <c r="F10" s="286"/>
      <c r="G10" s="6"/>
      <c r="H10" s="7"/>
      <c r="I10" s="7"/>
      <c r="J10" s="8">
        <f t="shared" ref="J10" si="10">SUM(J11:J15)</f>
        <v>20195198.449999999</v>
      </c>
      <c r="K10" s="8">
        <f t="shared" ref="K10:U10" si="11">SUM(K11:K15)</f>
        <v>20195198.449999999</v>
      </c>
      <c r="L10" s="8">
        <f t="shared" si="11"/>
        <v>8408775.6199999992</v>
      </c>
      <c r="M10" s="8">
        <f t="shared" si="11"/>
        <v>8408775.6199999992</v>
      </c>
      <c r="N10" s="8">
        <f t="shared" si="11"/>
        <v>6689228.0118999993</v>
      </c>
      <c r="O10" s="8">
        <f t="shared" si="11"/>
        <v>6689228.0118999993</v>
      </c>
      <c r="P10" s="8">
        <f t="shared" si="11"/>
        <v>12288130.007300001</v>
      </c>
      <c r="Q10" s="8">
        <f t="shared" si="11"/>
        <v>6871037.7945999997</v>
      </c>
      <c r="R10" s="8">
        <f t="shared" si="11"/>
        <v>9798153.7773000002</v>
      </c>
      <c r="S10" s="8">
        <f t="shared" si="11"/>
        <v>10862301.14465256</v>
      </c>
      <c r="T10" s="8">
        <f t="shared" si="11"/>
        <v>0</v>
      </c>
      <c r="U10" s="8">
        <f t="shared" si="11"/>
        <v>0</v>
      </c>
    </row>
    <row r="11" spans="1:21" ht="201.75" customHeight="1" x14ac:dyDescent="0.2">
      <c r="A11" s="20">
        <v>6</v>
      </c>
      <c r="B11" s="21" t="s">
        <v>35</v>
      </c>
      <c r="C11" s="21"/>
      <c r="D11" s="22" t="s">
        <v>36</v>
      </c>
      <c r="E11" s="23" t="s">
        <v>22</v>
      </c>
      <c r="F11" s="20">
        <v>1</v>
      </c>
      <c r="G11" s="20" t="s">
        <v>23</v>
      </c>
      <c r="H11" s="24">
        <v>1158489</v>
      </c>
      <c r="I11" s="24">
        <f t="shared" si="8"/>
        <v>1158489</v>
      </c>
      <c r="J11" s="28">
        <f>1978992*1.19</f>
        <v>2355000.48</v>
      </c>
      <c r="K11" s="26">
        <f t="shared" si="2"/>
        <v>2355000.48</v>
      </c>
      <c r="L11" s="27">
        <f>661660*1.19</f>
        <v>787375.39999999991</v>
      </c>
      <c r="M11" s="28">
        <f>+L11*F11</f>
        <v>787375.39999999991</v>
      </c>
      <c r="N11" s="27"/>
      <c r="O11" s="28"/>
      <c r="P11" s="29">
        <f t="shared" ref="P11:P15" si="12">AVERAGE(K11,M11,O11)</f>
        <v>1571187.94</v>
      </c>
      <c r="Q11" s="28">
        <f t="shared" ref="Q11:Q15" si="13">+MIN(K11,M11,O11)</f>
        <v>787375.39999999991</v>
      </c>
      <c r="R11" s="24">
        <f t="shared" si="6"/>
        <v>1571187.94</v>
      </c>
      <c r="S11" s="24">
        <f t="shared" ref="S11:S15" si="14">GEOMEAN(K11,M11,O11)</f>
        <v>1361715.6255768647</v>
      </c>
      <c r="T11" s="30"/>
      <c r="U11" s="28"/>
    </row>
    <row r="12" spans="1:21" s="41" customFormat="1" ht="141" customHeight="1" x14ac:dyDescent="0.2">
      <c r="A12" s="32">
        <v>7</v>
      </c>
      <c r="B12" s="33" t="s">
        <v>37</v>
      </c>
      <c r="C12" s="33"/>
      <c r="D12" s="34" t="s">
        <v>38</v>
      </c>
      <c r="E12" s="35" t="s">
        <v>22</v>
      </c>
      <c r="F12" s="32">
        <v>1</v>
      </c>
      <c r="G12" s="32" t="s">
        <v>23</v>
      </c>
      <c r="H12" s="36">
        <v>2772017</v>
      </c>
      <c r="I12" s="36">
        <f t="shared" si="8"/>
        <v>2772017</v>
      </c>
      <c r="J12" s="37">
        <f>4925798*1.19</f>
        <v>5861699.6200000001</v>
      </c>
      <c r="K12" s="38">
        <f>+J12*F12</f>
        <v>5861699.6200000001</v>
      </c>
      <c r="L12" s="39">
        <f>2157458*1.19</f>
        <v>2567375.02</v>
      </c>
      <c r="M12" s="37">
        <f t="shared" ref="M12:M15" si="15">+L12*F12</f>
        <v>2567375.02</v>
      </c>
      <c r="N12" s="39">
        <f>1000666.67*1.19</f>
        <v>1190793.3373</v>
      </c>
      <c r="O12" s="37">
        <f t="shared" ref="O12:O15" si="16">+N12*F12</f>
        <v>1190793.3373</v>
      </c>
      <c r="P12" s="37">
        <f t="shared" si="12"/>
        <v>3206622.6591000003</v>
      </c>
      <c r="Q12" s="37">
        <f t="shared" si="13"/>
        <v>1190793.3373</v>
      </c>
      <c r="R12" s="36">
        <f t="shared" si="6"/>
        <v>2567375.02</v>
      </c>
      <c r="S12" s="36">
        <f t="shared" si="14"/>
        <v>2616875.6669860962</v>
      </c>
      <c r="T12" s="40"/>
      <c r="U12" s="37"/>
    </row>
    <row r="13" spans="1:21" s="41" customFormat="1" ht="141" customHeight="1" x14ac:dyDescent="0.2">
      <c r="A13" s="32">
        <v>8</v>
      </c>
      <c r="B13" s="33" t="s">
        <v>39</v>
      </c>
      <c r="C13" s="33"/>
      <c r="D13" s="33" t="s">
        <v>40</v>
      </c>
      <c r="E13" s="35" t="s">
        <v>22</v>
      </c>
      <c r="F13" s="32">
        <v>1</v>
      </c>
      <c r="G13" s="32" t="s">
        <v>31</v>
      </c>
      <c r="H13" s="36">
        <v>4099550</v>
      </c>
      <c r="I13" s="36">
        <f t="shared" si="8"/>
        <v>4099550</v>
      </c>
      <c r="J13" s="37">
        <f>6428571*1.19</f>
        <v>7649999.4899999993</v>
      </c>
      <c r="K13" s="38">
        <f t="shared" si="2"/>
        <v>7649999.4899999993</v>
      </c>
      <c r="L13" s="39">
        <f>2156513*1.19</f>
        <v>2566250.4699999997</v>
      </c>
      <c r="M13" s="37">
        <f t="shared" si="15"/>
        <v>2566250.4699999997</v>
      </c>
      <c r="N13" s="39">
        <f>2613266.67*1.19</f>
        <v>3109787.3372999998</v>
      </c>
      <c r="O13" s="37">
        <f t="shared" si="16"/>
        <v>3109787.3372999998</v>
      </c>
      <c r="P13" s="37">
        <f t="shared" si="12"/>
        <v>4442012.4324333332</v>
      </c>
      <c r="Q13" s="37">
        <f t="shared" si="13"/>
        <v>2566250.4699999997</v>
      </c>
      <c r="R13" s="36">
        <f t="shared" si="6"/>
        <v>3109787.3372999998</v>
      </c>
      <c r="S13" s="36">
        <f t="shared" si="14"/>
        <v>3937588.9685260304</v>
      </c>
      <c r="T13" s="40"/>
      <c r="U13" s="37"/>
    </row>
    <row r="14" spans="1:21" ht="141" customHeight="1" x14ac:dyDescent="0.2">
      <c r="A14" s="20">
        <v>9</v>
      </c>
      <c r="B14" s="21" t="s">
        <v>41</v>
      </c>
      <c r="C14" s="21"/>
      <c r="D14" s="21" t="s">
        <v>42</v>
      </c>
      <c r="E14" s="23" t="s">
        <v>22</v>
      </c>
      <c r="F14" s="20">
        <v>1</v>
      </c>
      <c r="G14" s="20" t="s">
        <v>31</v>
      </c>
      <c r="H14" s="24">
        <v>2998800</v>
      </c>
      <c r="I14" s="24">
        <f t="shared" si="8"/>
        <v>2998800</v>
      </c>
      <c r="J14" s="28">
        <f>3403361*1.19</f>
        <v>4049999.59</v>
      </c>
      <c r="K14" s="26">
        <f t="shared" si="2"/>
        <v>4049999.59</v>
      </c>
      <c r="L14" s="27">
        <f>2016092*1.19</f>
        <v>2399149.48</v>
      </c>
      <c r="M14" s="28">
        <f t="shared" si="15"/>
        <v>2399149.48</v>
      </c>
      <c r="N14" s="27">
        <f>1880666.67*1.19</f>
        <v>2237993.3372999998</v>
      </c>
      <c r="O14" s="28">
        <f t="shared" si="16"/>
        <v>2237993.3372999998</v>
      </c>
      <c r="P14" s="29">
        <f t="shared" si="12"/>
        <v>2895714.1357666664</v>
      </c>
      <c r="Q14" s="28">
        <f t="shared" si="13"/>
        <v>2237993.3372999998</v>
      </c>
      <c r="R14" s="24">
        <f t="shared" si="6"/>
        <v>2399149.48</v>
      </c>
      <c r="S14" s="24">
        <f t="shared" si="14"/>
        <v>2791196.1585969897</v>
      </c>
      <c r="T14" s="30"/>
      <c r="U14" s="28"/>
    </row>
    <row r="15" spans="1:21" ht="141" customHeight="1" x14ac:dyDescent="0.2">
      <c r="A15" s="20">
        <v>10</v>
      </c>
      <c r="B15" s="21" t="s">
        <v>43</v>
      </c>
      <c r="C15" s="21"/>
      <c r="D15" s="23" t="s">
        <v>44</v>
      </c>
      <c r="E15" s="23" t="s">
        <v>22</v>
      </c>
      <c r="F15" s="20">
        <v>1</v>
      </c>
      <c r="G15" s="20" t="s">
        <v>31</v>
      </c>
      <c r="H15" s="24">
        <v>279650</v>
      </c>
      <c r="I15" s="24">
        <f t="shared" si="8"/>
        <v>279650</v>
      </c>
      <c r="J15" s="28">
        <f>234033*1.19</f>
        <v>278499.26999999996</v>
      </c>
      <c r="K15" s="26">
        <f t="shared" si="2"/>
        <v>278499.26999999996</v>
      </c>
      <c r="L15" s="27">
        <f>74475*1.19</f>
        <v>88625.25</v>
      </c>
      <c r="M15" s="28">
        <f t="shared" si="15"/>
        <v>88625.25</v>
      </c>
      <c r="N15" s="27">
        <f>126600*1.19</f>
        <v>150654</v>
      </c>
      <c r="O15" s="28">
        <f t="shared" si="16"/>
        <v>150654</v>
      </c>
      <c r="P15" s="29">
        <f t="shared" si="12"/>
        <v>172592.84</v>
      </c>
      <c r="Q15" s="28">
        <f t="shared" si="13"/>
        <v>88625.25</v>
      </c>
      <c r="R15" s="24">
        <f t="shared" si="6"/>
        <v>150654</v>
      </c>
      <c r="S15" s="24">
        <f t="shared" si="14"/>
        <v>154924.72496657906</v>
      </c>
      <c r="T15" s="30"/>
      <c r="U15" s="28"/>
    </row>
    <row r="16" spans="1:21" x14ac:dyDescent="0.2">
      <c r="A16" s="284" t="s">
        <v>45</v>
      </c>
      <c r="B16" s="285"/>
      <c r="C16" s="285"/>
      <c r="D16" s="285"/>
      <c r="E16" s="285"/>
      <c r="F16" s="286"/>
      <c r="G16" s="6"/>
      <c r="H16" s="7"/>
      <c r="I16" s="7"/>
      <c r="J16" s="8">
        <f t="shared" ref="J16:U16" si="17">SUM(J17:J60)</f>
        <v>70015177.959999979</v>
      </c>
      <c r="K16" s="8">
        <f t="shared" si="17"/>
        <v>123384411.00999999</v>
      </c>
      <c r="L16" s="8">
        <f t="shared" si="17"/>
        <v>215681344.12999991</v>
      </c>
      <c r="M16" s="8">
        <f t="shared" si="17"/>
        <v>438388639.8499999</v>
      </c>
      <c r="N16" s="8">
        <f t="shared" si="17"/>
        <v>8062249.9881000007</v>
      </c>
      <c r="O16" s="8">
        <f t="shared" si="17"/>
        <v>19461418.5913</v>
      </c>
      <c r="P16" s="8">
        <f t="shared" si="17"/>
        <v>277839991.66209996</v>
      </c>
      <c r="Q16" s="8">
        <f t="shared" si="17"/>
        <v>0</v>
      </c>
      <c r="R16" s="8">
        <f t="shared" si="17"/>
        <v>268547093.09469992</v>
      </c>
      <c r="S16" s="8">
        <f t="shared" si="17"/>
        <v>75294553.710553095</v>
      </c>
      <c r="T16" s="8">
        <f t="shared" si="17"/>
        <v>0</v>
      </c>
      <c r="U16" s="8">
        <f t="shared" si="17"/>
        <v>0</v>
      </c>
    </row>
    <row r="17" spans="1:21" ht="141" customHeight="1" x14ac:dyDescent="0.2">
      <c r="A17" s="20">
        <v>12</v>
      </c>
      <c r="B17" s="21" t="s">
        <v>46</v>
      </c>
      <c r="C17" s="21"/>
      <c r="D17" s="21" t="s">
        <v>47</v>
      </c>
      <c r="E17" s="23" t="s">
        <v>48</v>
      </c>
      <c r="F17" s="20">
        <v>1</v>
      </c>
      <c r="G17" s="20" t="s">
        <v>23</v>
      </c>
      <c r="H17" s="24">
        <v>342248</v>
      </c>
      <c r="I17" s="24">
        <f>H17*F17</f>
        <v>342248</v>
      </c>
      <c r="J17" s="28">
        <f>239244*1.19</f>
        <v>284700.36</v>
      </c>
      <c r="K17" s="26">
        <f t="shared" si="2"/>
        <v>284700.36</v>
      </c>
      <c r="L17" s="27">
        <f>255147*1.19</f>
        <v>303624.93</v>
      </c>
      <c r="M17" s="28">
        <f t="shared" ref="M17:M60" si="18">+L17*F17</f>
        <v>303624.93</v>
      </c>
      <c r="N17" s="27"/>
      <c r="O17" s="28"/>
      <c r="P17" s="29">
        <f t="shared" ref="P17:P60" si="19">AVERAGE(K17,M17,O17)</f>
        <v>294162.64500000002</v>
      </c>
      <c r="Q17" s="28"/>
      <c r="R17" s="24">
        <f t="shared" si="6"/>
        <v>294162.64500000002</v>
      </c>
      <c r="S17" s="24">
        <f t="shared" ref="S17:S60" si="20">GEOMEAN(K17,M17,O17)</f>
        <v>294010.41967245785</v>
      </c>
      <c r="T17" s="30"/>
      <c r="U17" s="28"/>
    </row>
    <row r="18" spans="1:21" ht="141" customHeight="1" x14ac:dyDescent="0.2">
      <c r="A18" s="20">
        <v>13</v>
      </c>
      <c r="B18" s="21" t="s">
        <v>49</v>
      </c>
      <c r="C18" s="21"/>
      <c r="D18" s="21" t="s">
        <v>50</v>
      </c>
      <c r="E18" s="23" t="s">
        <v>48</v>
      </c>
      <c r="F18" s="20">
        <v>1</v>
      </c>
      <c r="G18" s="20" t="s">
        <v>23</v>
      </c>
      <c r="H18" s="24">
        <v>247098</v>
      </c>
      <c r="I18" s="24">
        <f t="shared" ref="I18:I19" si="21">H18*F18</f>
        <v>247098</v>
      </c>
      <c r="J18" s="28">
        <f>272017*1.19</f>
        <v>323700.23</v>
      </c>
      <c r="K18" s="26">
        <f t="shared" si="2"/>
        <v>323700.23</v>
      </c>
      <c r="L18" s="27">
        <f>109471*1.19</f>
        <v>130270.48999999999</v>
      </c>
      <c r="M18" s="28">
        <f t="shared" si="18"/>
        <v>130270.48999999999</v>
      </c>
      <c r="N18" s="27"/>
      <c r="O18" s="28"/>
      <c r="P18" s="29">
        <f t="shared" si="19"/>
        <v>226985.36</v>
      </c>
      <c r="Q18" s="28"/>
      <c r="R18" s="24">
        <f t="shared" si="6"/>
        <v>226985.36</v>
      </c>
      <c r="S18" s="24">
        <f t="shared" si="20"/>
        <v>205349.91496275982</v>
      </c>
      <c r="T18" s="30"/>
      <c r="U18" s="28"/>
    </row>
    <row r="19" spans="1:21" ht="141" customHeight="1" x14ac:dyDescent="0.2">
      <c r="A19" s="20">
        <v>14</v>
      </c>
      <c r="B19" s="21" t="s">
        <v>51</v>
      </c>
      <c r="C19" s="21"/>
      <c r="D19" s="22" t="s">
        <v>52</v>
      </c>
      <c r="E19" s="23" t="s">
        <v>48</v>
      </c>
      <c r="F19" s="20">
        <v>1</v>
      </c>
      <c r="G19" s="20" t="s">
        <v>23</v>
      </c>
      <c r="H19" s="24">
        <v>0</v>
      </c>
      <c r="I19" s="24">
        <f t="shared" si="21"/>
        <v>0</v>
      </c>
      <c r="J19" s="28">
        <f>166361*1.19</f>
        <v>197969.59</v>
      </c>
      <c r="K19" s="26">
        <f t="shared" si="2"/>
        <v>197969.59</v>
      </c>
      <c r="L19" s="27">
        <f>47164*1.19</f>
        <v>56125.159999999996</v>
      </c>
      <c r="M19" s="28">
        <f t="shared" si="18"/>
        <v>56125.159999999996</v>
      </c>
      <c r="N19" s="27"/>
      <c r="O19" s="28"/>
      <c r="P19" s="29">
        <f t="shared" si="19"/>
        <v>127047.375</v>
      </c>
      <c r="Q19" s="28"/>
      <c r="R19" s="24">
        <f t="shared" si="6"/>
        <v>127047.375</v>
      </c>
      <c r="S19" s="24">
        <f t="shared" si="20"/>
        <v>105409.08364028405</v>
      </c>
      <c r="T19" s="30"/>
      <c r="U19" s="28"/>
    </row>
    <row r="20" spans="1:21" s="50" customFormat="1" ht="141" customHeight="1" x14ac:dyDescent="0.2">
      <c r="A20" s="42">
        <v>15</v>
      </c>
      <c r="B20" s="43" t="s">
        <v>53</v>
      </c>
      <c r="C20" s="43"/>
      <c r="D20" s="44" t="s">
        <v>54</v>
      </c>
      <c r="E20" s="45" t="s">
        <v>48</v>
      </c>
      <c r="F20" s="42">
        <v>5</v>
      </c>
      <c r="G20" s="42" t="s">
        <v>23</v>
      </c>
      <c r="H20" s="46"/>
      <c r="I20" s="24">
        <f>H20*F20</f>
        <v>0</v>
      </c>
      <c r="J20" s="47">
        <f>166384*1.19</f>
        <v>197996.96</v>
      </c>
      <c r="K20" s="26">
        <f t="shared" si="2"/>
        <v>989984.79999999993</v>
      </c>
      <c r="L20" s="48">
        <f>45063*1.19</f>
        <v>53624.97</v>
      </c>
      <c r="M20" s="47">
        <f t="shared" si="18"/>
        <v>268124.84999999998</v>
      </c>
      <c r="N20" s="48">
        <f>51333.33*1.19</f>
        <v>61086.662700000001</v>
      </c>
      <c r="O20" s="47">
        <f t="shared" ref="O20:O59" si="22">+N20*F20</f>
        <v>305433.31349999999</v>
      </c>
      <c r="P20" s="29">
        <f t="shared" si="19"/>
        <v>521180.98783333326</v>
      </c>
      <c r="Q20" s="47"/>
      <c r="R20" s="46">
        <f t="shared" si="6"/>
        <v>305433.31349999999</v>
      </c>
      <c r="S20" s="46">
        <f t="shared" si="20"/>
        <v>432806.7236706512</v>
      </c>
      <c r="T20" s="49"/>
      <c r="U20" s="47"/>
    </row>
    <row r="21" spans="1:21" ht="173.25" customHeight="1" x14ac:dyDescent="0.2">
      <c r="A21" s="20">
        <v>16</v>
      </c>
      <c r="B21" s="21" t="s">
        <v>55</v>
      </c>
      <c r="C21"/>
      <c r="D21" s="51" t="s">
        <v>56</v>
      </c>
      <c r="E21" s="23" t="s">
        <v>22</v>
      </c>
      <c r="F21" s="20">
        <v>1</v>
      </c>
      <c r="G21" s="20" t="s">
        <v>23</v>
      </c>
      <c r="H21" s="24"/>
      <c r="I21" s="24">
        <f>H21*F21</f>
        <v>0</v>
      </c>
      <c r="J21" s="28">
        <f>264706*1.19</f>
        <v>315000.14</v>
      </c>
      <c r="K21" s="26">
        <f t="shared" si="2"/>
        <v>315000.14</v>
      </c>
      <c r="L21" s="27">
        <f>205200*1.19</f>
        <v>244188</v>
      </c>
      <c r="M21" s="28">
        <f t="shared" si="18"/>
        <v>244188</v>
      </c>
      <c r="N21" s="27"/>
      <c r="O21" s="28"/>
      <c r="P21" s="29">
        <f t="shared" si="19"/>
        <v>279594.07</v>
      </c>
      <c r="Q21" s="28"/>
      <c r="R21" s="24">
        <f t="shared" si="6"/>
        <v>279594.07</v>
      </c>
      <c r="S21" s="24">
        <f t="shared" si="20"/>
        <v>277343.20649029786</v>
      </c>
      <c r="T21" s="30"/>
      <c r="U21" s="28"/>
    </row>
    <row r="22" spans="1:21" s="62" customFormat="1" ht="141" customHeight="1" x14ac:dyDescent="0.2">
      <c r="A22" s="52">
        <v>17</v>
      </c>
      <c r="B22" s="53" t="s">
        <v>57</v>
      </c>
      <c r="C22" s="53"/>
      <c r="D22" s="54" t="s">
        <v>58</v>
      </c>
      <c r="E22" s="55" t="s">
        <v>22</v>
      </c>
      <c r="F22" s="56">
        <v>2</v>
      </c>
      <c r="G22" s="56" t="s">
        <v>23</v>
      </c>
      <c r="H22" s="57"/>
      <c r="I22" s="57">
        <f t="shared" ref="I22:I60" si="23">H22*F22</f>
        <v>0</v>
      </c>
      <c r="J22" s="58">
        <f>1474790*1.19</f>
        <v>1755000.0999999999</v>
      </c>
      <c r="K22" s="59">
        <f t="shared" si="2"/>
        <v>3510000.1999999997</v>
      </c>
      <c r="L22" s="60">
        <f>819223*1.19</f>
        <v>974875.37</v>
      </c>
      <c r="M22" s="58">
        <f t="shared" si="18"/>
        <v>1949750.74</v>
      </c>
      <c r="N22" s="60"/>
      <c r="O22" s="58"/>
      <c r="P22" s="58">
        <f t="shared" si="19"/>
        <v>2729875.4699999997</v>
      </c>
      <c r="Q22" s="58"/>
      <c r="R22" s="57">
        <f t="shared" si="6"/>
        <v>2729875.4699999997</v>
      </c>
      <c r="S22" s="57">
        <f t="shared" si="20"/>
        <v>2616032.3941706354</v>
      </c>
      <c r="T22" s="61"/>
      <c r="U22" s="58"/>
    </row>
    <row r="23" spans="1:21" ht="141" customHeight="1" x14ac:dyDescent="0.2">
      <c r="A23" s="20">
        <v>18</v>
      </c>
      <c r="B23" s="21" t="s">
        <v>59</v>
      </c>
      <c r="C23" s="21"/>
      <c r="D23" s="22" t="s">
        <v>60</v>
      </c>
      <c r="E23" s="23" t="s">
        <v>22</v>
      </c>
      <c r="F23" s="20">
        <v>5</v>
      </c>
      <c r="G23" s="20" t="s">
        <v>23</v>
      </c>
      <c r="H23" s="24"/>
      <c r="I23" s="24">
        <f t="shared" si="23"/>
        <v>0</v>
      </c>
      <c r="J23" s="28">
        <f>642605*1.19</f>
        <v>764699.95</v>
      </c>
      <c r="K23" s="26">
        <f t="shared" si="2"/>
        <v>3823499.75</v>
      </c>
      <c r="L23" s="27">
        <f>42962*1.19</f>
        <v>51124.78</v>
      </c>
      <c r="M23" s="28">
        <f t="shared" si="18"/>
        <v>255623.9</v>
      </c>
      <c r="N23" s="27">
        <f>64666.67*1.19</f>
        <v>76953.337299999999</v>
      </c>
      <c r="O23" s="28">
        <f t="shared" si="22"/>
        <v>384766.68650000001</v>
      </c>
      <c r="P23" s="29">
        <f t="shared" si="19"/>
        <v>1487963.4455000001</v>
      </c>
      <c r="Q23" s="28"/>
      <c r="R23" s="24">
        <f t="shared" si="6"/>
        <v>384766.68650000001</v>
      </c>
      <c r="S23" s="24">
        <f t="shared" si="20"/>
        <v>721805.18147952226</v>
      </c>
      <c r="T23" s="30"/>
      <c r="U23" s="28"/>
    </row>
    <row r="24" spans="1:21" ht="141" customHeight="1" x14ac:dyDescent="0.2">
      <c r="A24" s="20">
        <v>19</v>
      </c>
      <c r="B24" s="21" t="s">
        <v>61</v>
      </c>
      <c r="C24" s="21"/>
      <c r="D24" s="22" t="s">
        <v>62</v>
      </c>
      <c r="E24" s="23" t="s">
        <v>22</v>
      </c>
      <c r="F24" s="20">
        <v>1</v>
      </c>
      <c r="G24" s="20" t="s">
        <v>23</v>
      </c>
      <c r="H24" s="24"/>
      <c r="I24" s="24">
        <f t="shared" si="23"/>
        <v>0</v>
      </c>
      <c r="J24" s="28">
        <f>983193*1.19</f>
        <v>1169999.67</v>
      </c>
      <c r="K24" s="26">
        <f t="shared" si="2"/>
        <v>1169999.67</v>
      </c>
      <c r="L24" s="27">
        <f>1689601*1.19</f>
        <v>2010625.19</v>
      </c>
      <c r="M24" s="28">
        <f t="shared" si="18"/>
        <v>2010625.19</v>
      </c>
      <c r="N24" s="27"/>
      <c r="O24" s="28"/>
      <c r="P24" s="29">
        <f t="shared" si="19"/>
        <v>1590312.43</v>
      </c>
      <c r="Q24" s="28"/>
      <c r="R24" s="24">
        <f t="shared" si="6"/>
        <v>1590312.43</v>
      </c>
      <c r="S24" s="24">
        <f t="shared" si="20"/>
        <v>1533763.6091633181</v>
      </c>
      <c r="T24" s="30"/>
      <c r="U24" s="28"/>
    </row>
    <row r="25" spans="1:21" ht="141" customHeight="1" x14ac:dyDescent="0.2">
      <c r="A25" s="52">
        <v>20</v>
      </c>
      <c r="B25" s="21" t="s">
        <v>63</v>
      </c>
      <c r="C25" s="21"/>
      <c r="D25" s="31" t="s">
        <v>64</v>
      </c>
      <c r="E25" s="23" t="s">
        <v>22</v>
      </c>
      <c r="F25" s="20">
        <v>2</v>
      </c>
      <c r="G25" s="20" t="s">
        <v>23</v>
      </c>
      <c r="H25" s="24"/>
      <c r="I25" s="24">
        <f t="shared" si="23"/>
        <v>0</v>
      </c>
      <c r="J25" s="28">
        <f>100588*1.19</f>
        <v>119699.72</v>
      </c>
      <c r="K25" s="26">
        <f t="shared" si="2"/>
        <v>239399.44</v>
      </c>
      <c r="L25" s="27">
        <f>165000000*1.19</f>
        <v>196350000</v>
      </c>
      <c r="M25" s="28">
        <f t="shared" si="18"/>
        <v>392700000</v>
      </c>
      <c r="N25" s="27"/>
      <c r="O25" s="28"/>
      <c r="P25" s="29">
        <f t="shared" si="19"/>
        <v>196469699.72</v>
      </c>
      <c r="Q25" s="28"/>
      <c r="R25" s="24">
        <f t="shared" si="6"/>
        <v>196469699.72</v>
      </c>
      <c r="S25" s="24">
        <f t="shared" si="20"/>
        <v>9695986.803208841</v>
      </c>
      <c r="T25" s="30"/>
      <c r="U25" s="28"/>
    </row>
    <row r="26" spans="1:21" ht="168.75" x14ac:dyDescent="0.2">
      <c r="A26" s="20">
        <v>21</v>
      </c>
      <c r="B26" s="21" t="s">
        <v>65</v>
      </c>
      <c r="C26" s="21"/>
      <c r="D26" s="31" t="s">
        <v>66</v>
      </c>
      <c r="E26" s="23" t="s">
        <v>22</v>
      </c>
      <c r="F26" s="20">
        <v>2</v>
      </c>
      <c r="G26" s="20" t="s">
        <v>23</v>
      </c>
      <c r="H26" s="24"/>
      <c r="I26" s="24">
        <f t="shared" si="23"/>
        <v>0</v>
      </c>
      <c r="J26" s="28">
        <f>1070924*1.19</f>
        <v>1274399.56</v>
      </c>
      <c r="K26" s="26">
        <f t="shared" si="2"/>
        <v>2548799.12</v>
      </c>
      <c r="L26" s="27">
        <f>593382*1.19</f>
        <v>706124.58</v>
      </c>
      <c r="M26" s="28">
        <f t="shared" si="18"/>
        <v>1412249.16</v>
      </c>
      <c r="N26" s="27"/>
      <c r="O26" s="28"/>
      <c r="P26" s="29">
        <f t="shared" si="19"/>
        <v>1980524.1400000001</v>
      </c>
      <c r="Q26" s="28"/>
      <c r="R26" s="24">
        <f t="shared" si="6"/>
        <v>1980524.1400000001</v>
      </c>
      <c r="S26" s="24">
        <f t="shared" si="20"/>
        <v>1897245.2177377439</v>
      </c>
      <c r="T26" s="30"/>
      <c r="U26" s="28"/>
    </row>
    <row r="27" spans="1:21" ht="168.75" x14ac:dyDescent="0.2">
      <c r="A27" s="20">
        <v>22</v>
      </c>
      <c r="B27" s="21" t="s">
        <v>67</v>
      </c>
      <c r="C27" s="21"/>
      <c r="D27" s="31" t="s">
        <v>66</v>
      </c>
      <c r="E27" s="23" t="s">
        <v>22</v>
      </c>
      <c r="F27" s="20">
        <v>3</v>
      </c>
      <c r="G27" s="20" t="s">
        <v>23</v>
      </c>
      <c r="H27" s="24"/>
      <c r="I27" s="24">
        <f t="shared" si="23"/>
        <v>0</v>
      </c>
      <c r="J27" s="28">
        <f>723277*1.19</f>
        <v>860699.63</v>
      </c>
      <c r="K27" s="26">
        <f t="shared" si="2"/>
        <v>2582098.89</v>
      </c>
      <c r="L27" s="27">
        <f>322374*1.19</f>
        <v>383625.06</v>
      </c>
      <c r="M27" s="28">
        <f t="shared" si="18"/>
        <v>1150875.18</v>
      </c>
      <c r="N27" s="27">
        <f>327333.33*1.19</f>
        <v>389526.66269999999</v>
      </c>
      <c r="O27" s="28">
        <f t="shared" si="22"/>
        <v>1168579.9881</v>
      </c>
      <c r="P27" s="29">
        <f t="shared" si="19"/>
        <v>1633851.3526999999</v>
      </c>
      <c r="Q27" s="28"/>
      <c r="R27" s="24">
        <f t="shared" si="6"/>
        <v>1168579.9881</v>
      </c>
      <c r="S27" s="24">
        <f t="shared" si="20"/>
        <v>1514327.6306031195</v>
      </c>
      <c r="T27" s="30"/>
      <c r="U27" s="28"/>
    </row>
    <row r="28" spans="1:21" ht="168.75" x14ac:dyDescent="0.2">
      <c r="A28" s="20">
        <v>23</v>
      </c>
      <c r="B28" s="21" t="s">
        <v>68</v>
      </c>
      <c r="C28" s="21"/>
      <c r="D28" s="31" t="s">
        <v>69</v>
      </c>
      <c r="E28" s="23" t="s">
        <v>22</v>
      </c>
      <c r="F28" s="20">
        <v>1</v>
      </c>
      <c r="G28" s="20" t="s">
        <v>23</v>
      </c>
      <c r="H28" s="24"/>
      <c r="I28" s="24">
        <f t="shared" si="23"/>
        <v>0</v>
      </c>
      <c r="J28" s="28">
        <f>932521*1.19</f>
        <v>1109699.99</v>
      </c>
      <c r="K28" s="26">
        <f t="shared" si="2"/>
        <v>1109699.99</v>
      </c>
      <c r="L28" s="27">
        <f>388550*1.19</f>
        <v>462374.5</v>
      </c>
      <c r="M28" s="28">
        <f t="shared" si="18"/>
        <v>462374.5</v>
      </c>
      <c r="N28" s="27">
        <f>380666.67*1.19</f>
        <v>452993.33729999996</v>
      </c>
      <c r="O28" s="28">
        <f t="shared" si="22"/>
        <v>452993.33729999996</v>
      </c>
      <c r="P28" s="29">
        <f t="shared" si="19"/>
        <v>675022.6091</v>
      </c>
      <c r="Q28" s="28"/>
      <c r="R28" s="24">
        <f t="shared" si="6"/>
        <v>462374.5</v>
      </c>
      <c r="S28" s="24">
        <f t="shared" si="20"/>
        <v>614842.32627847476</v>
      </c>
      <c r="T28" s="30"/>
      <c r="U28" s="28"/>
    </row>
    <row r="29" spans="1:21" s="50" customFormat="1" ht="141" customHeight="1" x14ac:dyDescent="0.2">
      <c r="A29" s="42">
        <v>24</v>
      </c>
      <c r="B29" s="43" t="s">
        <v>70</v>
      </c>
      <c r="C29" s="43"/>
      <c r="D29" s="63" t="s">
        <v>71</v>
      </c>
      <c r="E29" s="45" t="s">
        <v>22</v>
      </c>
      <c r="F29" s="42">
        <v>3</v>
      </c>
      <c r="G29" s="42" t="s">
        <v>23</v>
      </c>
      <c r="H29" s="46"/>
      <c r="I29" s="24">
        <f t="shared" si="23"/>
        <v>0</v>
      </c>
      <c r="J29" s="47">
        <f>166384*1.19</f>
        <v>197996.96</v>
      </c>
      <c r="K29" s="26">
        <f t="shared" si="2"/>
        <v>593990.88</v>
      </c>
      <c r="L29" s="48">
        <f>94433*1.19</f>
        <v>112375.26999999999</v>
      </c>
      <c r="M29" s="47">
        <f t="shared" si="18"/>
        <v>337125.80999999994</v>
      </c>
      <c r="N29" s="48">
        <f>51333.33*1.19</f>
        <v>61086.662700000001</v>
      </c>
      <c r="O29" s="47">
        <f t="shared" si="22"/>
        <v>183259.98810000002</v>
      </c>
      <c r="P29" s="29">
        <f t="shared" si="19"/>
        <v>371458.89269999997</v>
      </c>
      <c r="Q29" s="47"/>
      <c r="R29" s="46">
        <f t="shared" si="6"/>
        <v>337125.80999999994</v>
      </c>
      <c r="S29" s="46">
        <f t="shared" si="20"/>
        <v>332312.34720766509</v>
      </c>
      <c r="T29" s="49"/>
      <c r="U29" s="47"/>
    </row>
    <row r="30" spans="1:21" ht="141" customHeight="1" x14ac:dyDescent="0.2">
      <c r="A30" s="20">
        <v>25</v>
      </c>
      <c r="B30" s="21" t="s">
        <v>72</v>
      </c>
      <c r="C30" s="21"/>
      <c r="D30" s="21"/>
      <c r="E30" s="23" t="s">
        <v>22</v>
      </c>
      <c r="F30" s="20">
        <v>2</v>
      </c>
      <c r="G30" s="20" t="s">
        <v>23</v>
      </c>
      <c r="H30" s="24"/>
      <c r="I30" s="24">
        <f t="shared" si="23"/>
        <v>0</v>
      </c>
      <c r="J30" s="28">
        <f>879832*1.19</f>
        <v>1047000.08</v>
      </c>
      <c r="K30" s="26">
        <f t="shared" si="2"/>
        <v>2094000.16</v>
      </c>
      <c r="L30" s="27">
        <f>1239391*1.19</f>
        <v>1474875.29</v>
      </c>
      <c r="M30" s="28">
        <f t="shared" si="18"/>
        <v>2949750.58</v>
      </c>
      <c r="N30" s="27">
        <f>247333.33*1.19</f>
        <v>294326.66269999999</v>
      </c>
      <c r="O30" s="28">
        <f t="shared" si="22"/>
        <v>588653.32539999997</v>
      </c>
      <c r="P30" s="29">
        <f t="shared" si="19"/>
        <v>1877468.0218000002</v>
      </c>
      <c r="Q30" s="28"/>
      <c r="R30" s="24">
        <f t="shared" si="6"/>
        <v>2094000.16</v>
      </c>
      <c r="S30" s="24">
        <f t="shared" si="20"/>
        <v>1537707.9835472971</v>
      </c>
      <c r="T30" s="30"/>
      <c r="U30" s="28"/>
    </row>
    <row r="31" spans="1:21" s="19" customFormat="1" ht="141" customHeight="1" x14ac:dyDescent="0.2">
      <c r="A31" s="10">
        <v>26</v>
      </c>
      <c r="B31" s="11" t="s">
        <v>73</v>
      </c>
      <c r="C31" s="11"/>
      <c r="D31" s="11" t="s">
        <v>74</v>
      </c>
      <c r="E31" s="13" t="s">
        <v>22</v>
      </c>
      <c r="F31" s="10">
        <v>1</v>
      </c>
      <c r="G31" s="10" t="s">
        <v>31</v>
      </c>
      <c r="H31" s="14"/>
      <c r="I31" s="14">
        <f t="shared" si="23"/>
        <v>0</v>
      </c>
      <c r="J31" s="15">
        <f>12352941*1.19</f>
        <v>14699999.789999999</v>
      </c>
      <c r="K31" s="16">
        <f t="shared" si="2"/>
        <v>14699999.789999999</v>
      </c>
      <c r="L31" s="17"/>
      <c r="M31" s="15"/>
      <c r="N31" s="17"/>
      <c r="O31" s="15"/>
      <c r="P31" s="15">
        <f t="shared" si="19"/>
        <v>14699999.789999999</v>
      </c>
      <c r="Q31" s="15"/>
      <c r="R31" s="14">
        <f t="shared" si="6"/>
        <v>14699999.789999999</v>
      </c>
      <c r="S31" s="14">
        <f t="shared" si="20"/>
        <v>14699999.789999999</v>
      </c>
      <c r="T31" s="18"/>
      <c r="U31" s="15"/>
    </row>
    <row r="32" spans="1:21" s="19" customFormat="1" ht="141" customHeight="1" x14ac:dyDescent="0.2">
      <c r="A32" s="10">
        <v>27</v>
      </c>
      <c r="B32" s="11" t="s">
        <v>75</v>
      </c>
      <c r="C32" s="11"/>
      <c r="D32" s="11" t="s">
        <v>76</v>
      </c>
      <c r="E32" s="13" t="s">
        <v>22</v>
      </c>
      <c r="F32" s="10">
        <v>1</v>
      </c>
      <c r="G32" s="10" t="s">
        <v>31</v>
      </c>
      <c r="H32" s="14"/>
      <c r="I32" s="14">
        <f t="shared" si="23"/>
        <v>0</v>
      </c>
      <c r="J32" s="15">
        <f>332773*1.19</f>
        <v>395999.87</v>
      </c>
      <c r="K32" s="16">
        <f t="shared" si="2"/>
        <v>395999.87</v>
      </c>
      <c r="L32" s="17"/>
      <c r="M32" s="15"/>
      <c r="N32" s="17"/>
      <c r="O32" s="15"/>
      <c r="P32" s="15">
        <f t="shared" si="19"/>
        <v>395999.87</v>
      </c>
      <c r="Q32" s="15"/>
      <c r="R32" s="14">
        <f t="shared" si="6"/>
        <v>395999.87</v>
      </c>
      <c r="S32" s="14">
        <f t="shared" si="20"/>
        <v>395999.87</v>
      </c>
      <c r="T32" s="18"/>
      <c r="U32" s="15"/>
    </row>
    <row r="33" spans="1:21" s="19" customFormat="1" ht="141" customHeight="1" x14ac:dyDescent="0.2">
      <c r="A33" s="10">
        <v>28</v>
      </c>
      <c r="B33" s="11" t="s">
        <v>77</v>
      </c>
      <c r="C33" s="11"/>
      <c r="D33" s="11" t="s">
        <v>78</v>
      </c>
      <c r="E33" s="13" t="s">
        <v>22</v>
      </c>
      <c r="F33" s="10">
        <v>1</v>
      </c>
      <c r="G33" s="10" t="s">
        <v>31</v>
      </c>
      <c r="H33" s="14"/>
      <c r="I33" s="14">
        <f t="shared" si="23"/>
        <v>0</v>
      </c>
      <c r="J33" s="15">
        <f>5891571*1.19</f>
        <v>7010969.4899999993</v>
      </c>
      <c r="K33" s="16">
        <f t="shared" si="2"/>
        <v>7010969.4899999993</v>
      </c>
      <c r="L33" s="17">
        <f>1325132*1.19</f>
        <v>1576907.0799999998</v>
      </c>
      <c r="M33" s="15">
        <f t="shared" si="18"/>
        <v>1576907.0799999998</v>
      </c>
      <c r="N33" s="17"/>
      <c r="O33" s="15"/>
      <c r="P33" s="15">
        <f t="shared" si="19"/>
        <v>4293938.2849999992</v>
      </c>
      <c r="Q33" s="15"/>
      <c r="R33" s="14">
        <f t="shared" si="6"/>
        <v>4293938.2849999992</v>
      </c>
      <c r="S33" s="14">
        <f t="shared" si="20"/>
        <v>3325003.3723960319</v>
      </c>
      <c r="T33" s="18"/>
      <c r="U33" s="15"/>
    </row>
    <row r="34" spans="1:21" s="19" customFormat="1" ht="141" customHeight="1" x14ac:dyDescent="0.2">
      <c r="A34" s="10">
        <v>29</v>
      </c>
      <c r="B34" s="11" t="s">
        <v>79</v>
      </c>
      <c r="C34" s="11"/>
      <c r="D34" s="11" t="s">
        <v>80</v>
      </c>
      <c r="E34" s="13" t="s">
        <v>81</v>
      </c>
      <c r="F34" s="10">
        <v>1</v>
      </c>
      <c r="G34" s="10" t="s">
        <v>31</v>
      </c>
      <c r="H34" s="14"/>
      <c r="I34" s="14">
        <f t="shared" si="23"/>
        <v>0</v>
      </c>
      <c r="J34" s="15">
        <f>1747059*1.19</f>
        <v>2079000.21</v>
      </c>
      <c r="K34" s="16">
        <f t="shared" si="2"/>
        <v>2079000.21</v>
      </c>
      <c r="L34" s="17">
        <f>338000*1.19</f>
        <v>402220</v>
      </c>
      <c r="M34" s="15">
        <f t="shared" si="18"/>
        <v>402220</v>
      </c>
      <c r="N34" s="17"/>
      <c r="O34" s="15"/>
      <c r="P34" s="15">
        <f t="shared" si="19"/>
        <v>1240610.105</v>
      </c>
      <c r="Q34" s="15"/>
      <c r="R34" s="14">
        <f t="shared" si="6"/>
        <v>1240610.105</v>
      </c>
      <c r="S34" s="14">
        <f t="shared" si="20"/>
        <v>914448.17483890243</v>
      </c>
      <c r="T34" s="18"/>
      <c r="U34" s="15"/>
    </row>
    <row r="35" spans="1:21" s="19" customFormat="1" ht="141" customHeight="1" x14ac:dyDescent="0.2">
      <c r="A35" s="10">
        <v>30</v>
      </c>
      <c r="B35" s="11" t="s">
        <v>82</v>
      </c>
      <c r="C35" s="11"/>
      <c r="D35" s="11" t="s">
        <v>83</v>
      </c>
      <c r="E35" s="13" t="s">
        <v>22</v>
      </c>
      <c r="F35" s="10">
        <v>1</v>
      </c>
      <c r="G35" s="10" t="s">
        <v>31</v>
      </c>
      <c r="H35" s="14"/>
      <c r="I35" s="14">
        <f t="shared" si="23"/>
        <v>0</v>
      </c>
      <c r="J35" s="15">
        <f>106891*1.19</f>
        <v>127200.29</v>
      </c>
      <c r="K35" s="16">
        <f t="shared" si="2"/>
        <v>127200.29</v>
      </c>
      <c r="L35" s="17">
        <f>219088*1.19</f>
        <v>260714.72</v>
      </c>
      <c r="M35" s="15">
        <f t="shared" si="18"/>
        <v>260714.72</v>
      </c>
      <c r="N35" s="17"/>
      <c r="O35" s="15"/>
      <c r="P35" s="15">
        <f t="shared" si="19"/>
        <v>193957.505</v>
      </c>
      <c r="Q35" s="15"/>
      <c r="R35" s="14">
        <f t="shared" si="6"/>
        <v>193957.505</v>
      </c>
      <c r="S35" s="14">
        <f t="shared" si="20"/>
        <v>182107.07836673674</v>
      </c>
      <c r="T35" s="18"/>
      <c r="U35" s="15"/>
    </row>
    <row r="36" spans="1:21" ht="141" customHeight="1" x14ac:dyDescent="0.2">
      <c r="A36" s="20">
        <v>31</v>
      </c>
      <c r="B36" s="21" t="s">
        <v>84</v>
      </c>
      <c r="C36" s="21"/>
      <c r="D36" s="21" t="s">
        <v>357</v>
      </c>
      <c r="E36" s="23" t="s">
        <v>22</v>
      </c>
      <c r="F36" s="20">
        <v>1</v>
      </c>
      <c r="G36" s="20" t="s">
        <v>31</v>
      </c>
      <c r="H36" s="24"/>
      <c r="I36" s="24">
        <f t="shared" si="23"/>
        <v>0</v>
      </c>
      <c r="J36" s="28">
        <f>1108992*1.19</f>
        <v>1319700.48</v>
      </c>
      <c r="K36" s="26">
        <f t="shared" si="2"/>
        <v>1319700.48</v>
      </c>
      <c r="L36" s="27">
        <f>462080*1.19</f>
        <v>549875.19999999995</v>
      </c>
      <c r="M36" s="28">
        <f t="shared" si="18"/>
        <v>549875.19999999995</v>
      </c>
      <c r="N36" s="27">
        <f>680666.67*1.19</f>
        <v>809993.33730000001</v>
      </c>
      <c r="O36" s="28">
        <f t="shared" si="22"/>
        <v>809993.33730000001</v>
      </c>
      <c r="P36" s="29">
        <f t="shared" si="19"/>
        <v>893189.67243333336</v>
      </c>
      <c r="Q36" s="28"/>
      <c r="R36" s="24">
        <f t="shared" si="6"/>
        <v>809993.33730000001</v>
      </c>
      <c r="S36" s="24">
        <f t="shared" si="20"/>
        <v>837671.32957354968</v>
      </c>
      <c r="T36" s="30"/>
      <c r="U36" s="28"/>
    </row>
    <row r="37" spans="1:21" ht="141" customHeight="1" x14ac:dyDescent="0.2">
      <c r="A37" s="20">
        <v>32</v>
      </c>
      <c r="B37" s="21" t="s">
        <v>85</v>
      </c>
      <c r="C37" s="21"/>
      <c r="D37" s="21" t="s">
        <v>86</v>
      </c>
      <c r="E37" s="23" t="s">
        <v>22</v>
      </c>
      <c r="F37" s="20">
        <v>1</v>
      </c>
      <c r="G37" s="20" t="s">
        <v>31</v>
      </c>
      <c r="H37" s="24"/>
      <c r="I37" s="24">
        <f t="shared" si="23"/>
        <v>0</v>
      </c>
      <c r="J37" s="28">
        <f>839244*1.19</f>
        <v>998700.36</v>
      </c>
      <c r="K37" s="26">
        <f t="shared" si="2"/>
        <v>998700.36</v>
      </c>
      <c r="L37" s="27">
        <f>209979*1.19</f>
        <v>249875.00999999998</v>
      </c>
      <c r="M37" s="28">
        <f t="shared" si="18"/>
        <v>249875.00999999998</v>
      </c>
      <c r="N37" s="27">
        <f>194133.33*1.19</f>
        <v>231018.66269999999</v>
      </c>
      <c r="O37" s="28">
        <f t="shared" si="22"/>
        <v>231018.66269999999</v>
      </c>
      <c r="P37" s="29">
        <f t="shared" si="19"/>
        <v>493198.01089999994</v>
      </c>
      <c r="Q37" s="28"/>
      <c r="R37" s="24">
        <f t="shared" si="6"/>
        <v>249875.00999999998</v>
      </c>
      <c r="S37" s="24">
        <f t="shared" si="20"/>
        <v>386309.18319527613</v>
      </c>
      <c r="T37" s="30"/>
      <c r="U37" s="28"/>
    </row>
    <row r="38" spans="1:21" s="19" customFormat="1" ht="393.75" x14ac:dyDescent="0.2">
      <c r="A38" s="10">
        <v>33</v>
      </c>
      <c r="B38" s="11" t="s">
        <v>87</v>
      </c>
      <c r="C38" s="11"/>
      <c r="D38" s="12" t="s">
        <v>88</v>
      </c>
      <c r="E38" s="13" t="s">
        <v>22</v>
      </c>
      <c r="F38" s="10">
        <v>1</v>
      </c>
      <c r="G38" s="10" t="s">
        <v>31</v>
      </c>
      <c r="H38" s="14"/>
      <c r="I38" s="14">
        <f t="shared" si="23"/>
        <v>0</v>
      </c>
      <c r="J38" s="15">
        <f>1237563*1.19</f>
        <v>1472699.97</v>
      </c>
      <c r="K38" s="16">
        <f t="shared" si="2"/>
        <v>1472699.97</v>
      </c>
      <c r="L38" s="17">
        <f>419118*1.19</f>
        <v>498750.42</v>
      </c>
      <c r="M38" s="15">
        <f t="shared" si="18"/>
        <v>498750.42</v>
      </c>
      <c r="N38" s="17"/>
      <c r="O38" s="15"/>
      <c r="P38" s="15">
        <f t="shared" si="19"/>
        <v>985725.19499999995</v>
      </c>
      <c r="Q38" s="15"/>
      <c r="R38" s="14">
        <f t="shared" si="6"/>
        <v>985725.19500000007</v>
      </c>
      <c r="S38" s="14">
        <f t="shared" si="20"/>
        <v>857035.43017280637</v>
      </c>
      <c r="T38" s="18"/>
      <c r="U38" s="15"/>
    </row>
    <row r="39" spans="1:21" s="19" customFormat="1" ht="141" customHeight="1" x14ac:dyDescent="0.2">
      <c r="A39" s="10">
        <v>34</v>
      </c>
      <c r="B39" s="11" t="s">
        <v>89</v>
      </c>
      <c r="C39" s="11"/>
      <c r="D39" s="11" t="s">
        <v>90</v>
      </c>
      <c r="E39" s="13" t="s">
        <v>22</v>
      </c>
      <c r="F39" s="10">
        <v>1</v>
      </c>
      <c r="G39" s="10" t="s">
        <v>31</v>
      </c>
      <c r="H39" s="14"/>
      <c r="I39" s="14">
        <f t="shared" si="23"/>
        <v>0</v>
      </c>
      <c r="J39" s="15"/>
      <c r="K39" s="16">
        <f t="shared" si="2"/>
        <v>0</v>
      </c>
      <c r="L39" s="17"/>
      <c r="M39" s="15">
        <f t="shared" si="18"/>
        <v>0</v>
      </c>
      <c r="N39" s="17"/>
      <c r="O39" s="15"/>
      <c r="P39" s="15">
        <f t="shared" si="19"/>
        <v>0</v>
      </c>
      <c r="Q39" s="15"/>
      <c r="R39" s="14">
        <f t="shared" si="6"/>
        <v>0</v>
      </c>
      <c r="S39" s="14"/>
      <c r="T39" s="18"/>
      <c r="U39" s="15"/>
    </row>
    <row r="40" spans="1:21" ht="141" customHeight="1" x14ac:dyDescent="0.2">
      <c r="A40" s="20">
        <v>35</v>
      </c>
      <c r="B40" s="21" t="s">
        <v>91</v>
      </c>
      <c r="C40" s="21"/>
      <c r="D40" s="22" t="s">
        <v>92</v>
      </c>
      <c r="E40" s="23" t="s">
        <v>22</v>
      </c>
      <c r="F40" s="20">
        <v>1</v>
      </c>
      <c r="G40" s="20" t="s">
        <v>23</v>
      </c>
      <c r="H40" s="24"/>
      <c r="I40" s="24">
        <f t="shared" si="23"/>
        <v>0</v>
      </c>
      <c r="J40" s="28">
        <f>4285462*1.19</f>
        <v>5099699.7799999993</v>
      </c>
      <c r="K40" s="26">
        <f t="shared" si="2"/>
        <v>5099699.7799999993</v>
      </c>
      <c r="L40" s="27">
        <f>178466*1.19</f>
        <v>212374.53999999998</v>
      </c>
      <c r="M40" s="28">
        <f t="shared" si="18"/>
        <v>212374.53999999998</v>
      </c>
      <c r="N40" s="27">
        <f>1446666.67*1.19</f>
        <v>1721533.3372999998</v>
      </c>
      <c r="O40" s="28">
        <f t="shared" si="22"/>
        <v>1721533.3372999998</v>
      </c>
      <c r="P40" s="29">
        <f t="shared" si="19"/>
        <v>2344535.8857666664</v>
      </c>
      <c r="Q40" s="28"/>
      <c r="R40" s="24">
        <f t="shared" si="6"/>
        <v>1721533.3372999998</v>
      </c>
      <c r="S40" s="24">
        <f t="shared" si="20"/>
        <v>1230800.0335733804</v>
      </c>
      <c r="T40" s="30"/>
      <c r="U40" s="28"/>
    </row>
    <row r="41" spans="1:21" ht="141" customHeight="1" x14ac:dyDescent="0.2">
      <c r="A41" s="20">
        <v>36</v>
      </c>
      <c r="B41" s="21" t="s">
        <v>93</v>
      </c>
      <c r="C41" s="21"/>
      <c r="D41" s="31" t="s">
        <v>94</v>
      </c>
      <c r="E41" s="23" t="s">
        <v>22</v>
      </c>
      <c r="F41" s="20">
        <v>1</v>
      </c>
      <c r="G41" s="20" t="s">
        <v>23</v>
      </c>
      <c r="H41" s="24"/>
      <c r="I41" s="24">
        <f t="shared" si="23"/>
        <v>0</v>
      </c>
      <c r="J41" s="28">
        <f>2175378*1.19</f>
        <v>2588699.8199999998</v>
      </c>
      <c r="K41" s="26">
        <f t="shared" si="2"/>
        <v>2588699.8199999998</v>
      </c>
      <c r="L41" s="27">
        <f>388550*1.19</f>
        <v>462374.5</v>
      </c>
      <c r="M41" s="28">
        <f t="shared" si="18"/>
        <v>462374.5</v>
      </c>
      <c r="N41" s="27">
        <f>867333.33*1.19</f>
        <v>1032126.6626999999</v>
      </c>
      <c r="O41" s="28">
        <f t="shared" si="22"/>
        <v>1032126.6626999999</v>
      </c>
      <c r="P41" s="29">
        <f t="shared" si="19"/>
        <v>1361066.9942333333</v>
      </c>
      <c r="Q41" s="28"/>
      <c r="R41" s="24">
        <f t="shared" si="6"/>
        <v>1032126.6626999999</v>
      </c>
      <c r="S41" s="24">
        <f t="shared" si="20"/>
        <v>1073007.7410864823</v>
      </c>
      <c r="T41" s="30"/>
      <c r="U41" s="28"/>
    </row>
    <row r="42" spans="1:21" ht="141" customHeight="1" x14ac:dyDescent="0.2">
      <c r="A42" s="20">
        <v>37</v>
      </c>
      <c r="B42" s="21" t="s">
        <v>95</v>
      </c>
      <c r="C42" s="21"/>
      <c r="D42" s="21" t="s">
        <v>96</v>
      </c>
      <c r="E42" s="23" t="s">
        <v>22</v>
      </c>
      <c r="F42" s="20">
        <v>1</v>
      </c>
      <c r="G42" s="20" t="s">
        <v>23</v>
      </c>
      <c r="H42" s="24"/>
      <c r="I42" s="24">
        <f t="shared" si="23"/>
        <v>0</v>
      </c>
      <c r="J42" s="28">
        <f>398294*1.19</f>
        <v>473969.86</v>
      </c>
      <c r="K42" s="26">
        <f t="shared" si="2"/>
        <v>473969.86</v>
      </c>
      <c r="L42" s="27">
        <f>577626*1.19</f>
        <v>687374.94</v>
      </c>
      <c r="M42" s="28">
        <f t="shared" si="18"/>
        <v>687374.94</v>
      </c>
      <c r="N42" s="27"/>
      <c r="O42" s="28"/>
      <c r="P42" s="29">
        <f t="shared" si="19"/>
        <v>580672.39999999991</v>
      </c>
      <c r="Q42" s="28"/>
      <c r="R42" s="24">
        <f t="shared" si="6"/>
        <v>580672.39999999991</v>
      </c>
      <c r="S42" s="24">
        <f t="shared" si="20"/>
        <v>570784.55136707088</v>
      </c>
      <c r="T42" s="30"/>
      <c r="U42" s="28"/>
    </row>
    <row r="43" spans="1:21" s="41" customFormat="1" ht="141" customHeight="1" x14ac:dyDescent="0.2">
      <c r="A43" s="32">
        <v>38</v>
      </c>
      <c r="B43" s="33" t="s">
        <v>97</v>
      </c>
      <c r="C43" s="33"/>
      <c r="D43" s="64" t="s">
        <v>98</v>
      </c>
      <c r="E43" s="35" t="s">
        <v>22</v>
      </c>
      <c r="F43" s="32">
        <v>6</v>
      </c>
      <c r="G43" s="32" t="s">
        <v>23</v>
      </c>
      <c r="H43" s="36"/>
      <c r="I43" s="36">
        <f t="shared" si="23"/>
        <v>0</v>
      </c>
      <c r="J43" s="37">
        <f>849832*1.19</f>
        <v>1011300.08</v>
      </c>
      <c r="K43" s="38">
        <f t="shared" si="2"/>
        <v>6067800.4799999995</v>
      </c>
      <c r="L43" s="39">
        <f>1301471*1.19</f>
        <v>1548750.49</v>
      </c>
      <c r="M43" s="37">
        <f t="shared" si="18"/>
        <v>9292502.9399999995</v>
      </c>
      <c r="N43" s="39">
        <f>80266.67*1.19</f>
        <v>95517.337299999999</v>
      </c>
      <c r="O43" s="37">
        <f t="shared" si="22"/>
        <v>573104.02379999997</v>
      </c>
      <c r="P43" s="37">
        <f t="shared" si="19"/>
        <v>5311135.8145999992</v>
      </c>
      <c r="Q43" s="37"/>
      <c r="R43" s="36">
        <f t="shared" si="6"/>
        <v>6067800.4799999995</v>
      </c>
      <c r="S43" s="36">
        <f t="shared" si="20"/>
        <v>3185169.0392571376</v>
      </c>
      <c r="T43" s="40"/>
      <c r="U43" s="37"/>
    </row>
    <row r="44" spans="1:21" s="41" customFormat="1" ht="141" customHeight="1" x14ac:dyDescent="0.2">
      <c r="A44" s="32">
        <v>39</v>
      </c>
      <c r="B44" s="33" t="s">
        <v>99</v>
      </c>
      <c r="C44" s="33"/>
      <c r="D44" s="64" t="s">
        <v>100</v>
      </c>
      <c r="E44" s="35" t="s">
        <v>22</v>
      </c>
      <c r="F44" s="32">
        <v>6</v>
      </c>
      <c r="G44" s="32" t="s">
        <v>23</v>
      </c>
      <c r="H44" s="36"/>
      <c r="I44" s="36">
        <f t="shared" si="23"/>
        <v>0</v>
      </c>
      <c r="J44" s="37">
        <f>335042*1.19</f>
        <v>398699.98</v>
      </c>
      <c r="K44" s="38">
        <f t="shared" si="2"/>
        <v>2392199.88</v>
      </c>
      <c r="L44" s="39">
        <f>94433*1.19</f>
        <v>112375.26999999999</v>
      </c>
      <c r="M44" s="37">
        <f t="shared" si="18"/>
        <v>674251.61999999988</v>
      </c>
      <c r="N44" s="39">
        <f>123333.33*1.19</f>
        <v>146766.66269999999</v>
      </c>
      <c r="O44" s="37">
        <f t="shared" si="22"/>
        <v>880599.97619999992</v>
      </c>
      <c r="P44" s="37">
        <f t="shared" si="19"/>
        <v>1315683.8254</v>
      </c>
      <c r="Q44" s="37"/>
      <c r="R44" s="36">
        <f t="shared" si="6"/>
        <v>880599.97619999992</v>
      </c>
      <c r="S44" s="36">
        <f t="shared" si="20"/>
        <v>1124085.5820225149</v>
      </c>
      <c r="T44" s="40"/>
      <c r="U44" s="37"/>
    </row>
    <row r="45" spans="1:21" ht="141" customHeight="1" x14ac:dyDescent="0.2">
      <c r="A45" s="20">
        <v>40</v>
      </c>
      <c r="B45" s="21" t="s">
        <v>101</v>
      </c>
      <c r="C45" s="21"/>
      <c r="D45" s="21" t="s">
        <v>100</v>
      </c>
      <c r="E45" s="23" t="s">
        <v>22</v>
      </c>
      <c r="F45" s="20">
        <v>4</v>
      </c>
      <c r="G45" s="20" t="s">
        <v>23</v>
      </c>
      <c r="H45" s="65" t="s">
        <v>102</v>
      </c>
      <c r="I45" s="24" t="e">
        <f t="shared" si="23"/>
        <v>#VALUE!</v>
      </c>
      <c r="J45" s="28">
        <f>109538*1.19</f>
        <v>130350.22</v>
      </c>
      <c r="K45" s="26">
        <f t="shared" si="2"/>
        <v>521400.88</v>
      </c>
      <c r="L45" s="27">
        <f>47269*1.19</f>
        <v>56250.11</v>
      </c>
      <c r="M45" s="28">
        <f t="shared" si="18"/>
        <v>225000.44</v>
      </c>
      <c r="N45" s="27">
        <f>44800*1.19</f>
        <v>53312</v>
      </c>
      <c r="O45" s="28">
        <f t="shared" si="22"/>
        <v>213248</v>
      </c>
      <c r="P45" s="29">
        <f t="shared" si="19"/>
        <v>319883.10666666669</v>
      </c>
      <c r="Q45" s="28"/>
      <c r="R45" s="24">
        <f t="shared" si="6"/>
        <v>225000.44</v>
      </c>
      <c r="S45" s="24">
        <f t="shared" si="20"/>
        <v>292469.12870939513</v>
      </c>
      <c r="T45" s="30"/>
      <c r="U45" s="28"/>
    </row>
    <row r="46" spans="1:21" s="19" customFormat="1" ht="141" customHeight="1" x14ac:dyDescent="0.2">
      <c r="A46" s="10">
        <v>41</v>
      </c>
      <c r="B46" s="11" t="s">
        <v>103</v>
      </c>
      <c r="C46" s="11"/>
      <c r="D46" s="11" t="s">
        <v>104</v>
      </c>
      <c r="E46" s="13" t="s">
        <v>22</v>
      </c>
      <c r="F46" s="10">
        <v>2</v>
      </c>
      <c r="G46" s="10" t="s">
        <v>23</v>
      </c>
      <c r="H46" s="14"/>
      <c r="I46" s="14">
        <f t="shared" si="23"/>
        <v>0</v>
      </c>
      <c r="J46" s="15">
        <f>315126*1.19</f>
        <v>374999.94</v>
      </c>
      <c r="K46" s="16">
        <f t="shared" si="2"/>
        <v>749999.88</v>
      </c>
      <c r="L46" s="17">
        <f>102101*1.19</f>
        <v>121500.18999999999</v>
      </c>
      <c r="M46" s="15">
        <f t="shared" si="18"/>
        <v>243000.37999999998</v>
      </c>
      <c r="N46" s="17"/>
      <c r="O46" s="15"/>
      <c r="P46" s="15">
        <f t="shared" si="19"/>
        <v>496500.13</v>
      </c>
      <c r="Q46" s="15"/>
      <c r="R46" s="14">
        <f t="shared" si="6"/>
        <v>496500.13</v>
      </c>
      <c r="S46" s="14">
        <f t="shared" si="20"/>
        <v>426907.78376594913</v>
      </c>
      <c r="T46" s="18"/>
      <c r="U46" s="15"/>
    </row>
    <row r="47" spans="1:21" s="19" customFormat="1" ht="141" customHeight="1" x14ac:dyDescent="0.2">
      <c r="A47" s="10">
        <v>42</v>
      </c>
      <c r="B47" s="11" t="s">
        <v>105</v>
      </c>
      <c r="C47" s="11"/>
      <c r="D47" s="11" t="s">
        <v>106</v>
      </c>
      <c r="E47" s="13" t="s">
        <v>107</v>
      </c>
      <c r="F47" s="10">
        <v>2</v>
      </c>
      <c r="G47" s="10" t="s">
        <v>23</v>
      </c>
      <c r="H47" s="14"/>
      <c r="I47" s="14">
        <f t="shared" si="23"/>
        <v>0</v>
      </c>
      <c r="J47" s="15">
        <f>135882*1.19</f>
        <v>161699.57999999999</v>
      </c>
      <c r="K47" s="16">
        <f t="shared" si="2"/>
        <v>323399.15999999997</v>
      </c>
      <c r="L47" s="17">
        <f>56618*1.19</f>
        <v>67375.42</v>
      </c>
      <c r="M47" s="15">
        <f t="shared" si="18"/>
        <v>134750.84</v>
      </c>
      <c r="N47" s="17"/>
      <c r="O47" s="15"/>
      <c r="P47" s="15">
        <f t="shared" si="19"/>
        <v>229075</v>
      </c>
      <c r="Q47" s="15"/>
      <c r="R47" s="14">
        <f t="shared" si="6"/>
        <v>229075</v>
      </c>
      <c r="S47" s="14">
        <f t="shared" si="20"/>
        <v>208754.18191091262</v>
      </c>
      <c r="T47" s="18"/>
      <c r="U47" s="15"/>
    </row>
    <row r="48" spans="1:21" ht="141" customHeight="1" x14ac:dyDescent="0.2">
      <c r="A48" s="20">
        <v>43</v>
      </c>
      <c r="B48" s="21" t="s">
        <v>108</v>
      </c>
      <c r="C48" s="21"/>
      <c r="D48" s="21" t="s">
        <v>109</v>
      </c>
      <c r="E48" s="23" t="s">
        <v>107</v>
      </c>
      <c r="F48" s="20">
        <v>3</v>
      </c>
      <c r="G48" s="20" t="s">
        <v>23</v>
      </c>
      <c r="H48" s="24"/>
      <c r="I48" s="24">
        <f t="shared" si="23"/>
        <v>0</v>
      </c>
      <c r="J48" s="28">
        <f>125798*1.19</f>
        <v>149699.62</v>
      </c>
      <c r="K48" s="26">
        <f t="shared" si="2"/>
        <v>449098.86</v>
      </c>
      <c r="L48" s="27">
        <f>52416*1.19</f>
        <v>62375.039999999994</v>
      </c>
      <c r="M48" s="28">
        <f t="shared" si="18"/>
        <v>187125.12</v>
      </c>
      <c r="N48" s="27">
        <f>42133.33*1.19</f>
        <v>50138.662700000001</v>
      </c>
      <c r="O48" s="28">
        <f t="shared" si="22"/>
        <v>150415.98810000002</v>
      </c>
      <c r="P48" s="29">
        <f t="shared" si="19"/>
        <v>262213.32269999996</v>
      </c>
      <c r="Q48" s="28"/>
      <c r="R48" s="24">
        <f t="shared" si="6"/>
        <v>187125.12</v>
      </c>
      <c r="S48" s="24">
        <f t="shared" si="20"/>
        <v>232946.40643512824</v>
      </c>
      <c r="T48" s="30"/>
      <c r="U48" s="28"/>
    </row>
    <row r="49" spans="1:21" s="41" customFormat="1" ht="141" customHeight="1" x14ac:dyDescent="0.2">
      <c r="A49" s="32">
        <v>44</v>
      </c>
      <c r="B49" s="33" t="s">
        <v>110</v>
      </c>
      <c r="C49" s="33"/>
      <c r="D49" s="33" t="s">
        <v>111</v>
      </c>
      <c r="E49" s="35" t="s">
        <v>107</v>
      </c>
      <c r="F49" s="32">
        <v>1</v>
      </c>
      <c r="G49" s="32" t="s">
        <v>23</v>
      </c>
      <c r="H49" s="36"/>
      <c r="I49" s="36">
        <f t="shared" si="23"/>
        <v>0</v>
      </c>
      <c r="J49" s="37">
        <f>390504*1.19</f>
        <v>464699.75999999995</v>
      </c>
      <c r="K49" s="38">
        <f t="shared" si="2"/>
        <v>464699.75999999995</v>
      </c>
      <c r="L49" s="39">
        <f>182248*1.19</f>
        <v>216875.12</v>
      </c>
      <c r="M49" s="37">
        <f t="shared" si="18"/>
        <v>216875.12</v>
      </c>
      <c r="N49" s="39">
        <f>101466.67*1.19</f>
        <v>120745.3373</v>
      </c>
      <c r="O49" s="37">
        <f t="shared" si="22"/>
        <v>120745.3373</v>
      </c>
      <c r="P49" s="37">
        <f t="shared" si="19"/>
        <v>267440.07243333332</v>
      </c>
      <c r="Q49" s="37"/>
      <c r="R49" s="36">
        <f t="shared" si="6"/>
        <v>216875.12</v>
      </c>
      <c r="S49" s="36">
        <f t="shared" si="20"/>
        <v>230012.18834251619</v>
      </c>
      <c r="T49" s="40"/>
      <c r="U49" s="37"/>
    </row>
    <row r="50" spans="1:21" s="41" customFormat="1" ht="141" customHeight="1" x14ac:dyDescent="0.2">
      <c r="A50" s="32">
        <v>45</v>
      </c>
      <c r="B50" s="33" t="s">
        <v>112</v>
      </c>
      <c r="C50" s="33"/>
      <c r="D50" s="33" t="s">
        <v>113</v>
      </c>
      <c r="E50" s="35" t="s">
        <v>22</v>
      </c>
      <c r="F50" s="32">
        <v>1</v>
      </c>
      <c r="G50" s="32" t="s">
        <v>23</v>
      </c>
      <c r="H50" s="36"/>
      <c r="I50" s="36">
        <f t="shared" si="23"/>
        <v>0</v>
      </c>
      <c r="J50" s="37">
        <f>602521*1.19</f>
        <v>716999.99</v>
      </c>
      <c r="K50" s="38">
        <f t="shared" si="2"/>
        <v>716999.99</v>
      </c>
      <c r="L50" s="39">
        <f>139601*1.19</f>
        <v>166125.19</v>
      </c>
      <c r="M50" s="37">
        <f t="shared" si="18"/>
        <v>166125.19</v>
      </c>
      <c r="N50" s="39">
        <f>127466.67*1.19</f>
        <v>151685.33729999998</v>
      </c>
      <c r="O50" s="37">
        <f t="shared" si="22"/>
        <v>151685.33729999998</v>
      </c>
      <c r="P50" s="37">
        <f t="shared" si="19"/>
        <v>344936.83909999998</v>
      </c>
      <c r="Q50" s="37"/>
      <c r="R50" s="36">
        <f t="shared" si="6"/>
        <v>166125.19</v>
      </c>
      <c r="S50" s="36">
        <f t="shared" si="20"/>
        <v>262401.35940834275</v>
      </c>
      <c r="T50" s="40"/>
      <c r="U50" s="37"/>
    </row>
    <row r="51" spans="1:21" ht="141" customHeight="1" x14ac:dyDescent="0.2">
      <c r="A51" s="20">
        <v>46</v>
      </c>
      <c r="B51" s="21" t="s">
        <v>114</v>
      </c>
      <c r="C51" s="21"/>
      <c r="D51" s="21" t="s">
        <v>115</v>
      </c>
      <c r="E51" s="23" t="s">
        <v>22</v>
      </c>
      <c r="F51" s="20">
        <v>2</v>
      </c>
      <c r="G51" s="20" t="s">
        <v>23</v>
      </c>
      <c r="H51" s="24"/>
      <c r="I51" s="24">
        <f t="shared" si="23"/>
        <v>0</v>
      </c>
      <c r="J51" s="28">
        <f>69328*1.19</f>
        <v>82500.319999999992</v>
      </c>
      <c r="K51" s="26">
        <f t="shared" si="2"/>
        <v>165000.63999999998</v>
      </c>
      <c r="L51" s="27">
        <f>214181*1.19</f>
        <v>254875.38999999998</v>
      </c>
      <c r="M51" s="28">
        <f t="shared" si="18"/>
        <v>509750.77999999997</v>
      </c>
      <c r="N51" s="27"/>
      <c r="O51" s="28"/>
      <c r="P51" s="29">
        <f t="shared" si="19"/>
        <v>337375.70999999996</v>
      </c>
      <c r="Q51" s="28"/>
      <c r="R51" s="24">
        <f t="shared" si="6"/>
        <v>337375.70999999996</v>
      </c>
      <c r="S51" s="24">
        <f t="shared" si="20"/>
        <v>290015.87015282316</v>
      </c>
      <c r="T51" s="30"/>
      <c r="U51" s="28"/>
    </row>
    <row r="52" spans="1:21" ht="141" customHeight="1" x14ac:dyDescent="0.2">
      <c r="A52" s="20">
        <v>47</v>
      </c>
      <c r="B52" s="21" t="s">
        <v>116</v>
      </c>
      <c r="C52" s="21"/>
      <c r="D52" s="21" t="s">
        <v>117</v>
      </c>
      <c r="E52" s="23" t="s">
        <v>107</v>
      </c>
      <c r="F52" s="20">
        <v>8</v>
      </c>
      <c r="G52" s="20" t="s">
        <v>23</v>
      </c>
      <c r="H52" s="24"/>
      <c r="I52" s="24">
        <f t="shared" si="23"/>
        <v>0</v>
      </c>
      <c r="J52" s="28">
        <f>1209832*1.19</f>
        <v>1439700.0799999998</v>
      </c>
      <c r="K52" s="26">
        <f t="shared" si="2"/>
        <v>11517600.639999999</v>
      </c>
      <c r="L52" s="27">
        <f>840231*1.19</f>
        <v>999874.8899999999</v>
      </c>
      <c r="M52" s="28">
        <f t="shared" si="18"/>
        <v>7998999.1199999992</v>
      </c>
      <c r="N52" s="27">
        <f>646933.33*1.19</f>
        <v>769850.66269999987</v>
      </c>
      <c r="O52" s="28">
        <f t="shared" si="22"/>
        <v>6158805.301599999</v>
      </c>
      <c r="P52" s="29">
        <f t="shared" si="19"/>
        <v>8558468.3538666647</v>
      </c>
      <c r="Q52" s="28"/>
      <c r="R52" s="24">
        <f t="shared" si="6"/>
        <v>7998999.1199999992</v>
      </c>
      <c r="S52" s="24">
        <f t="shared" si="20"/>
        <v>8278748.9551920332</v>
      </c>
      <c r="T52" s="30"/>
      <c r="U52" s="28"/>
    </row>
    <row r="53" spans="1:21" ht="141" customHeight="1" x14ac:dyDescent="0.2">
      <c r="A53" s="20">
        <v>48</v>
      </c>
      <c r="B53" s="21" t="s">
        <v>118</v>
      </c>
      <c r="C53" s="21"/>
      <c r="D53" s="21" t="s">
        <v>119</v>
      </c>
      <c r="E53" s="23" t="s">
        <v>107</v>
      </c>
      <c r="F53" s="20">
        <v>4</v>
      </c>
      <c r="G53" s="20" t="s">
        <v>23</v>
      </c>
      <c r="H53" s="24"/>
      <c r="I53" s="24">
        <f t="shared" si="23"/>
        <v>0</v>
      </c>
      <c r="J53" s="28">
        <f>503950*1.19</f>
        <v>599700.5</v>
      </c>
      <c r="K53" s="26">
        <f t="shared" si="2"/>
        <v>2398802</v>
      </c>
      <c r="L53" s="27">
        <f>363340*1.19</f>
        <v>432374.6</v>
      </c>
      <c r="M53" s="28">
        <f t="shared" si="18"/>
        <v>1729498.4</v>
      </c>
      <c r="N53" s="27">
        <f>114000*1.19</f>
        <v>135660</v>
      </c>
      <c r="O53" s="28">
        <f t="shared" si="22"/>
        <v>542640</v>
      </c>
      <c r="P53" s="29">
        <f t="shared" si="19"/>
        <v>1556980.1333333335</v>
      </c>
      <c r="Q53" s="28"/>
      <c r="R53" s="24">
        <f t="shared" si="6"/>
        <v>1729498.4</v>
      </c>
      <c r="S53" s="24">
        <f t="shared" si="20"/>
        <v>1310615.9741793431</v>
      </c>
      <c r="T53" s="30"/>
      <c r="U53" s="28"/>
    </row>
    <row r="54" spans="1:21" ht="141" customHeight="1" x14ac:dyDescent="0.2">
      <c r="A54" s="20">
        <v>49</v>
      </c>
      <c r="B54" s="21" t="s">
        <v>120</v>
      </c>
      <c r="C54"/>
      <c r="D54" s="51" t="s">
        <v>121</v>
      </c>
      <c r="E54" s="23" t="s">
        <v>22</v>
      </c>
      <c r="F54" s="20">
        <v>2</v>
      </c>
      <c r="G54" s="20" t="s">
        <v>23</v>
      </c>
      <c r="H54" s="24"/>
      <c r="I54" s="24">
        <f t="shared" si="23"/>
        <v>0</v>
      </c>
      <c r="J54" s="28">
        <f>83571*1.19</f>
        <v>99449.489999999991</v>
      </c>
      <c r="K54" s="26">
        <f t="shared" si="2"/>
        <v>198898.97999999998</v>
      </c>
      <c r="L54" s="27">
        <f>317892*1.19</f>
        <v>378291.48</v>
      </c>
      <c r="M54" s="28">
        <f t="shared" si="18"/>
        <v>756582.96</v>
      </c>
      <c r="N54" s="27">
        <f>75666.67*1.19</f>
        <v>90043.337299999999</v>
      </c>
      <c r="O54" s="28">
        <f t="shared" si="22"/>
        <v>180086.6746</v>
      </c>
      <c r="P54" s="29">
        <f t="shared" si="19"/>
        <v>378522.87153333332</v>
      </c>
      <c r="Q54" s="28"/>
      <c r="R54" s="24">
        <f t="shared" si="6"/>
        <v>198898.97999999998</v>
      </c>
      <c r="S54" s="24">
        <f t="shared" si="20"/>
        <v>300370.23670688883</v>
      </c>
      <c r="T54" s="30"/>
      <c r="U54" s="28"/>
    </row>
    <row r="55" spans="1:21" ht="141" customHeight="1" x14ac:dyDescent="0.2">
      <c r="A55" s="20">
        <v>50</v>
      </c>
      <c r="B55" s="21" t="s">
        <v>122</v>
      </c>
      <c r="C55" s="21"/>
      <c r="D55" s="21" t="s">
        <v>123</v>
      </c>
      <c r="E55" s="23" t="s">
        <v>22</v>
      </c>
      <c r="F55" s="20">
        <v>3</v>
      </c>
      <c r="G55" s="20" t="s">
        <v>23</v>
      </c>
      <c r="H55" s="24"/>
      <c r="I55" s="24">
        <f t="shared" si="23"/>
        <v>0</v>
      </c>
      <c r="J55" s="28">
        <f>437710*1.19</f>
        <v>520874.89999999997</v>
      </c>
      <c r="K55" s="26">
        <f t="shared" si="2"/>
        <v>1562624.7</v>
      </c>
      <c r="L55" s="27">
        <f>504097*1.19</f>
        <v>599875.42999999993</v>
      </c>
      <c r="M55" s="28">
        <f t="shared" si="18"/>
        <v>1799626.2899999998</v>
      </c>
      <c r="N55" s="27">
        <f>172800*1.19</f>
        <v>205632</v>
      </c>
      <c r="O55" s="28">
        <f t="shared" si="22"/>
        <v>616896</v>
      </c>
      <c r="P55" s="29">
        <f t="shared" si="19"/>
        <v>1326382.3299999998</v>
      </c>
      <c r="Q55" s="28"/>
      <c r="R55" s="24">
        <f t="shared" si="6"/>
        <v>1562624.7</v>
      </c>
      <c r="S55" s="24">
        <f t="shared" si="20"/>
        <v>1201571.6030109609</v>
      </c>
      <c r="T55" s="30"/>
      <c r="U55" s="28"/>
    </row>
    <row r="56" spans="1:21" ht="141" customHeight="1" x14ac:dyDescent="0.2">
      <c r="A56" s="20">
        <v>51</v>
      </c>
      <c r="B56" s="21" t="s">
        <v>124</v>
      </c>
      <c r="C56" s="21"/>
      <c r="D56" s="21" t="s">
        <v>125</v>
      </c>
      <c r="E56" s="23" t="s">
        <v>22</v>
      </c>
      <c r="F56" s="20">
        <v>2</v>
      </c>
      <c r="G56" s="20" t="s">
        <v>23</v>
      </c>
      <c r="H56" s="24"/>
      <c r="I56" s="24">
        <f t="shared" si="23"/>
        <v>0</v>
      </c>
      <c r="J56" s="28">
        <f>1479580*1.19</f>
        <v>1760700.2</v>
      </c>
      <c r="K56" s="26">
        <f t="shared" si="2"/>
        <v>3521400.4</v>
      </c>
      <c r="L56" s="27">
        <f>524055*1.19</f>
        <v>623625.44999999995</v>
      </c>
      <c r="M56" s="28">
        <f t="shared" si="18"/>
        <v>1247250.8999999999</v>
      </c>
      <c r="N56" s="27">
        <f>287333.33*1.19</f>
        <v>341926.66269999999</v>
      </c>
      <c r="O56" s="28">
        <f t="shared" si="22"/>
        <v>683853.32539999997</v>
      </c>
      <c r="P56" s="29">
        <f t="shared" si="19"/>
        <v>1817501.5417999998</v>
      </c>
      <c r="Q56" s="28"/>
      <c r="R56" s="24">
        <f t="shared" si="6"/>
        <v>1247250.8999999999</v>
      </c>
      <c r="S56" s="24">
        <f t="shared" si="20"/>
        <v>1442815.2791894823</v>
      </c>
      <c r="T56" s="30"/>
      <c r="U56" s="28"/>
    </row>
    <row r="57" spans="1:21" ht="141" customHeight="1" x14ac:dyDescent="0.2">
      <c r="A57" s="20">
        <v>52</v>
      </c>
      <c r="B57" s="21" t="s">
        <v>126</v>
      </c>
      <c r="C57" s="21"/>
      <c r="D57" s="21" t="s">
        <v>127</v>
      </c>
      <c r="E57" s="23" t="s">
        <v>22</v>
      </c>
      <c r="F57" s="20">
        <v>1</v>
      </c>
      <c r="G57" s="20" t="s">
        <v>23</v>
      </c>
      <c r="H57" s="24"/>
      <c r="I57" s="24">
        <f t="shared" si="23"/>
        <v>0</v>
      </c>
      <c r="J57" s="28">
        <f>95546*1.19</f>
        <v>113699.73999999999</v>
      </c>
      <c r="K57" s="26">
        <f t="shared" si="2"/>
        <v>113699.73999999999</v>
      </c>
      <c r="L57" s="27">
        <f>12080*1.19</f>
        <v>14375.199999999999</v>
      </c>
      <c r="M57" s="28">
        <f t="shared" si="18"/>
        <v>14375.199999999999</v>
      </c>
      <c r="N57" s="27"/>
      <c r="O57" s="28"/>
      <c r="P57" s="29">
        <f t="shared" si="19"/>
        <v>64037.469999999994</v>
      </c>
      <c r="Q57" s="28"/>
      <c r="R57" s="24">
        <f t="shared" si="6"/>
        <v>64037.469999999994</v>
      </c>
      <c r="S57" s="24">
        <f t="shared" si="20"/>
        <v>40428.412069335594</v>
      </c>
      <c r="T57" s="30"/>
      <c r="U57" s="28"/>
    </row>
    <row r="58" spans="1:21" ht="141" customHeight="1" x14ac:dyDescent="0.2">
      <c r="A58" s="20">
        <v>53</v>
      </c>
      <c r="B58" s="21" t="s">
        <v>128</v>
      </c>
      <c r="C58" s="21"/>
      <c r="D58" s="21" t="s">
        <v>129</v>
      </c>
      <c r="E58" s="23" t="s">
        <v>81</v>
      </c>
      <c r="F58" s="20">
        <v>2</v>
      </c>
      <c r="G58" s="20" t="s">
        <v>23</v>
      </c>
      <c r="H58" s="24"/>
      <c r="I58" s="24">
        <f t="shared" si="23"/>
        <v>0</v>
      </c>
      <c r="J58" s="28">
        <f>6778992*1.19</f>
        <v>8067000.4799999995</v>
      </c>
      <c r="K58" s="26">
        <f t="shared" si="2"/>
        <v>16134000.959999999</v>
      </c>
      <c r="L58" s="27">
        <f>609139*1.19</f>
        <v>724875.40999999992</v>
      </c>
      <c r="M58" s="28">
        <f t="shared" si="18"/>
        <v>1449750.8199999998</v>
      </c>
      <c r="N58" s="27"/>
      <c r="O58" s="28"/>
      <c r="P58" s="29">
        <f t="shared" si="19"/>
        <v>8791875.8899999987</v>
      </c>
      <c r="Q58" s="28"/>
      <c r="R58" s="24">
        <f t="shared" si="6"/>
        <v>8791875.8899999987</v>
      </c>
      <c r="S58" s="24">
        <f t="shared" si="20"/>
        <v>4836349.9792344207</v>
      </c>
      <c r="T58" s="30"/>
      <c r="U58" s="28"/>
    </row>
    <row r="59" spans="1:21" ht="141" customHeight="1" x14ac:dyDescent="0.2">
      <c r="A59" s="20">
        <v>54</v>
      </c>
      <c r="B59" s="21" t="s">
        <v>130</v>
      </c>
      <c r="C59" s="21"/>
      <c r="D59" s="21" t="s">
        <v>131</v>
      </c>
      <c r="E59" s="23" t="s">
        <v>107</v>
      </c>
      <c r="F59" s="20">
        <v>3</v>
      </c>
      <c r="G59" s="20" t="s">
        <v>23</v>
      </c>
      <c r="H59" s="24"/>
      <c r="I59" s="24">
        <f t="shared" si="23"/>
        <v>0</v>
      </c>
      <c r="J59" s="28">
        <f>5041765*1.19</f>
        <v>5999700.3499999996</v>
      </c>
      <c r="K59" s="26">
        <f t="shared" si="2"/>
        <v>17999101.049999997</v>
      </c>
      <c r="L59" s="27">
        <f>640651*1.19</f>
        <v>762374.69</v>
      </c>
      <c r="M59" s="28">
        <f t="shared" si="18"/>
        <v>2287124.0699999998</v>
      </c>
      <c r="N59" s="27">
        <f>647333.33*1.19</f>
        <v>770326.66269999987</v>
      </c>
      <c r="O59" s="28">
        <f t="shared" si="22"/>
        <v>2310979.9880999997</v>
      </c>
      <c r="P59" s="29">
        <f t="shared" si="19"/>
        <v>7532401.7026999993</v>
      </c>
      <c r="Q59" s="28"/>
      <c r="R59" s="24">
        <f t="shared" si="6"/>
        <v>2310979.9880999997</v>
      </c>
      <c r="S59" s="24">
        <f t="shared" si="20"/>
        <v>4565050.3801708063</v>
      </c>
      <c r="T59" s="30"/>
      <c r="U59" s="28"/>
    </row>
    <row r="60" spans="1:21" ht="141" customHeight="1" x14ac:dyDescent="0.2">
      <c r="A60" s="20">
        <v>55</v>
      </c>
      <c r="B60" s="21" t="s">
        <v>132</v>
      </c>
      <c r="C60" s="21"/>
      <c r="D60" s="21" t="s">
        <v>133</v>
      </c>
      <c r="E60" s="23" t="s">
        <v>22</v>
      </c>
      <c r="F60" s="20">
        <v>1</v>
      </c>
      <c r="G60" s="20" t="s">
        <v>23</v>
      </c>
      <c r="H60" s="24"/>
      <c r="I60" s="24">
        <f t="shared" si="23"/>
        <v>0</v>
      </c>
      <c r="J60" s="28">
        <f>1712773*1.19</f>
        <v>2038199.8699999999</v>
      </c>
      <c r="K60" s="26">
        <f t="shared" si="2"/>
        <v>2038199.8699999999</v>
      </c>
      <c r="L60" s="27">
        <f>273004*1.19</f>
        <v>324874.76</v>
      </c>
      <c r="M60" s="28">
        <f t="shared" si="18"/>
        <v>324874.76</v>
      </c>
      <c r="N60" s="27"/>
      <c r="O60" s="28"/>
      <c r="P60" s="29">
        <f t="shared" si="19"/>
        <v>1181537.3149999999</v>
      </c>
      <c r="Q60" s="28"/>
      <c r="R60" s="24">
        <f t="shared" si="6"/>
        <v>1181537.3149999999</v>
      </c>
      <c r="S60" s="24">
        <f t="shared" si="20"/>
        <v>813731.95439178939</v>
      </c>
      <c r="T60" s="30"/>
      <c r="U60" s="28"/>
    </row>
    <row r="61" spans="1:21" x14ac:dyDescent="0.2">
      <c r="A61" s="284" t="s">
        <v>134</v>
      </c>
      <c r="B61" s="285"/>
      <c r="C61" s="285"/>
      <c r="D61" s="285"/>
      <c r="E61" s="285"/>
      <c r="F61" s="286"/>
      <c r="G61" s="6"/>
      <c r="H61" s="7"/>
      <c r="I61" s="7"/>
      <c r="J61" s="8">
        <f t="shared" ref="J61:S61" si="24">SUM(J62:J63)</f>
        <v>5091188.8999999994</v>
      </c>
      <c r="K61" s="8">
        <f t="shared" si="24"/>
        <v>5091188.8999999994</v>
      </c>
      <c r="L61" s="8">
        <f t="shared" si="24"/>
        <v>2346983.4499999997</v>
      </c>
      <c r="M61" s="8">
        <f t="shared" si="24"/>
        <v>2346983.4499999997</v>
      </c>
      <c r="N61" s="8">
        <f t="shared" si="24"/>
        <v>362077.33729999996</v>
      </c>
      <c r="O61" s="8">
        <f t="shared" si="24"/>
        <v>362077.33729999996</v>
      </c>
      <c r="P61" s="9">
        <f t="shared" si="24"/>
        <v>3131516.2057666662</v>
      </c>
      <c r="Q61" s="8">
        <f t="shared" si="24"/>
        <v>1459185.9372999999</v>
      </c>
      <c r="R61" s="8">
        <f t="shared" si="24"/>
        <v>2844173.78</v>
      </c>
      <c r="S61" s="8">
        <f t="shared" si="24"/>
        <v>2622047.9849039242</v>
      </c>
      <c r="U61" s="66">
        <f>SUM(U62:U63)</f>
        <v>0</v>
      </c>
    </row>
    <row r="62" spans="1:21" s="19" customFormat="1" ht="141" customHeight="1" x14ac:dyDescent="0.2">
      <c r="A62" s="10">
        <v>56</v>
      </c>
      <c r="B62" s="11" t="s">
        <v>135</v>
      </c>
      <c r="C62" s="11"/>
      <c r="D62" s="11" t="s">
        <v>136</v>
      </c>
      <c r="E62" s="13" t="s">
        <v>22</v>
      </c>
      <c r="F62" s="10">
        <v>1</v>
      </c>
      <c r="G62" s="10" t="s">
        <v>31</v>
      </c>
      <c r="H62" s="14"/>
      <c r="I62" s="14"/>
      <c r="J62" s="15">
        <f>1757554*1.19</f>
        <v>2091489.26</v>
      </c>
      <c r="K62" s="16">
        <f t="shared" si="2"/>
        <v>2091489.26</v>
      </c>
      <c r="L62" s="17">
        <f>921940*1.19</f>
        <v>1097108.5999999999</v>
      </c>
      <c r="M62" s="15">
        <f t="shared" ref="M62:M63" si="25">+L62*F62</f>
        <v>1097108.5999999999</v>
      </c>
      <c r="N62" s="17"/>
      <c r="O62" s="15"/>
      <c r="P62" s="15">
        <f t="shared" ref="P62:P63" si="26">AVERAGE(K62,M62,O62)</f>
        <v>1594298.93</v>
      </c>
      <c r="Q62" s="15">
        <f t="shared" ref="Q62:Q63" si="27">+MIN(K62,M62,O62)</f>
        <v>1097108.5999999999</v>
      </c>
      <c r="R62" s="14">
        <f t="shared" si="6"/>
        <v>1594298.93</v>
      </c>
      <c r="S62" s="14">
        <f t="shared" ref="S62:S63" si="28">GEOMEAN(K62,M62,O62)</f>
        <v>1514790.6964177049</v>
      </c>
      <c r="T62" s="18"/>
      <c r="U62" s="15"/>
    </row>
    <row r="63" spans="1:21" s="19" customFormat="1" ht="141" customHeight="1" x14ac:dyDescent="0.2">
      <c r="A63" s="10">
        <v>57</v>
      </c>
      <c r="B63" s="11" t="s">
        <v>137</v>
      </c>
      <c r="C63" s="11"/>
      <c r="D63" s="11" t="s">
        <v>138</v>
      </c>
      <c r="E63" s="13" t="s">
        <v>22</v>
      </c>
      <c r="F63" s="10">
        <v>1</v>
      </c>
      <c r="G63" s="10" t="s">
        <v>31</v>
      </c>
      <c r="H63" s="14"/>
      <c r="I63" s="14"/>
      <c r="J63" s="15">
        <f>2520756*1.19</f>
        <v>2999699.6399999997</v>
      </c>
      <c r="K63" s="16">
        <f t="shared" si="2"/>
        <v>2999699.6399999997</v>
      </c>
      <c r="L63" s="17">
        <f>1050315*1.19</f>
        <v>1249874.8499999999</v>
      </c>
      <c r="M63" s="15">
        <f t="shared" si="25"/>
        <v>1249874.8499999999</v>
      </c>
      <c r="N63" s="17">
        <f>304266.67*1.19</f>
        <v>362077.33729999996</v>
      </c>
      <c r="O63" s="15">
        <f t="shared" ref="O63" si="29">+N63*F63</f>
        <v>362077.33729999996</v>
      </c>
      <c r="P63" s="15">
        <f t="shared" si="26"/>
        <v>1537217.2757666663</v>
      </c>
      <c r="Q63" s="15">
        <f t="shared" si="27"/>
        <v>362077.33729999996</v>
      </c>
      <c r="R63" s="14">
        <f t="shared" si="6"/>
        <v>1249874.8499999999</v>
      </c>
      <c r="S63" s="14">
        <f t="shared" si="28"/>
        <v>1107257.2884862192</v>
      </c>
      <c r="T63" s="18"/>
      <c r="U63" s="15"/>
    </row>
    <row r="64" spans="1:21" x14ac:dyDescent="0.2">
      <c r="A64" s="284" t="s">
        <v>139</v>
      </c>
      <c r="B64" s="285"/>
      <c r="C64" s="285"/>
      <c r="D64" s="285"/>
      <c r="E64" s="285"/>
      <c r="F64" s="286"/>
      <c r="G64" s="6"/>
      <c r="H64" s="7"/>
      <c r="I64" s="7"/>
      <c r="J64" s="8">
        <f>+J65</f>
        <v>11144699.859999999</v>
      </c>
      <c r="K64" s="8">
        <f t="shared" ref="K64:S64" si="30">+K65</f>
        <v>11144699.859999999</v>
      </c>
      <c r="L64" s="8">
        <f t="shared" si="30"/>
        <v>4643625.1399999997</v>
      </c>
      <c r="M64" s="8">
        <f t="shared" si="30"/>
        <v>4643625.1399999997</v>
      </c>
      <c r="N64" s="8">
        <f t="shared" si="30"/>
        <v>0</v>
      </c>
      <c r="O64" s="8">
        <f t="shared" si="30"/>
        <v>0</v>
      </c>
      <c r="P64" s="8">
        <f t="shared" si="30"/>
        <v>7894162.5</v>
      </c>
      <c r="Q64" s="8">
        <f t="shared" si="30"/>
        <v>4643625.1399999997</v>
      </c>
      <c r="R64" s="8">
        <f t="shared" si="30"/>
        <v>7894162.5</v>
      </c>
      <c r="S64" s="8">
        <f t="shared" si="30"/>
        <v>7193872.9796716925</v>
      </c>
      <c r="U64" s="67">
        <f>+U65</f>
        <v>0</v>
      </c>
    </row>
    <row r="65" spans="1:21" ht="141" customHeight="1" x14ac:dyDescent="0.2">
      <c r="A65" s="20">
        <v>58</v>
      </c>
      <c r="B65" s="21" t="s">
        <v>140</v>
      </c>
      <c r="C65" s="21"/>
      <c r="D65" s="21" t="s">
        <v>141</v>
      </c>
      <c r="E65" s="23" t="s">
        <v>22</v>
      </c>
      <c r="F65" s="20">
        <v>1</v>
      </c>
      <c r="G65" s="20" t="s">
        <v>31</v>
      </c>
      <c r="H65" s="24"/>
      <c r="I65" s="24"/>
      <c r="J65" s="28">
        <f>9365294*1.19</f>
        <v>11144699.859999999</v>
      </c>
      <c r="K65" s="26">
        <f t="shared" ref="K65" si="31">+J65*F65</f>
        <v>11144699.859999999</v>
      </c>
      <c r="L65" s="27">
        <f>3902206*1.19</f>
        <v>4643625.1399999997</v>
      </c>
      <c r="M65" s="28">
        <f>+L65*F65</f>
        <v>4643625.1399999997</v>
      </c>
      <c r="N65" s="27"/>
      <c r="O65" s="28"/>
      <c r="P65" s="29">
        <f>AVERAGE(K65,M65,O65)</f>
        <v>7894162.5</v>
      </c>
      <c r="Q65" s="28">
        <f>+MIN(K65,M65,O65)</f>
        <v>4643625.1399999997</v>
      </c>
      <c r="R65" s="24">
        <f t="shared" si="6"/>
        <v>7894162.5</v>
      </c>
      <c r="S65" s="24">
        <f>GEOMEAN(K65,M65,O65)</f>
        <v>7193872.9796716925</v>
      </c>
      <c r="T65" s="30"/>
      <c r="U65" s="28"/>
    </row>
    <row r="66" spans="1:21" x14ac:dyDescent="0.2">
      <c r="A66" s="284" t="s">
        <v>142</v>
      </c>
      <c r="B66" s="285"/>
      <c r="C66" s="285"/>
      <c r="D66" s="285"/>
      <c r="E66" s="285"/>
      <c r="F66" s="286"/>
      <c r="G66" s="6"/>
      <c r="H66" s="7"/>
      <c r="I66" s="7"/>
      <c r="J66" s="8">
        <f t="shared" ref="J66:U66" si="32">SUM(J67:J70)</f>
        <v>2992188.36</v>
      </c>
      <c r="K66" s="8">
        <f t="shared" si="32"/>
        <v>7504144.7599999998</v>
      </c>
      <c r="L66" s="8">
        <f t="shared" si="32"/>
        <v>276972.5</v>
      </c>
      <c r="M66" s="8">
        <f t="shared" si="32"/>
        <v>1059973.46</v>
      </c>
      <c r="N66" s="8">
        <f t="shared" si="32"/>
        <v>215310.67459999997</v>
      </c>
      <c r="O66" s="8">
        <f t="shared" si="32"/>
        <v>787780.02379999997</v>
      </c>
      <c r="P66" s="8">
        <f t="shared" si="32"/>
        <v>3575187.8129333332</v>
      </c>
      <c r="Q66" s="8">
        <f t="shared" si="32"/>
        <v>0</v>
      </c>
      <c r="R66" s="8">
        <f t="shared" si="32"/>
        <v>2268356.7823000001</v>
      </c>
      <c r="S66" s="8">
        <f t="shared" si="32"/>
        <v>2176938.2616105089</v>
      </c>
      <c r="T66" s="8">
        <f t="shared" si="32"/>
        <v>0</v>
      </c>
      <c r="U66" s="8">
        <f t="shared" si="32"/>
        <v>0</v>
      </c>
    </row>
    <row r="67" spans="1:21" ht="141" customHeight="1" x14ac:dyDescent="0.2">
      <c r="A67" s="20">
        <v>59</v>
      </c>
      <c r="B67" s="21" t="s">
        <v>143</v>
      </c>
      <c r="C67" s="21"/>
      <c r="D67" s="21" t="s">
        <v>144</v>
      </c>
      <c r="E67" s="23" t="s">
        <v>22</v>
      </c>
      <c r="F67" s="20">
        <v>5</v>
      </c>
      <c r="G67" s="20" t="s">
        <v>31</v>
      </c>
      <c r="H67" s="24"/>
      <c r="I67" s="24"/>
      <c r="J67" s="28">
        <f>163866*1.19</f>
        <v>195000.53999999998</v>
      </c>
      <c r="K67" s="26">
        <f t="shared" ref="K67:K70" si="33">+J67*F67</f>
        <v>975002.7</v>
      </c>
      <c r="L67" s="27">
        <f>26261*1.19</f>
        <v>31250.59</v>
      </c>
      <c r="M67" s="28">
        <f t="shared" ref="M67:M70" si="34">+L67*F67</f>
        <v>156252.95000000001</v>
      </c>
      <c r="N67" s="27"/>
      <c r="O67" s="28"/>
      <c r="P67" s="29">
        <f t="shared" ref="P67:P70" si="35">AVERAGE(K67,M67,O67)</f>
        <v>565627.82499999995</v>
      </c>
      <c r="Q67" s="28"/>
      <c r="R67" s="24">
        <f t="shared" si="6"/>
        <v>565627.82499999995</v>
      </c>
      <c r="S67" s="24">
        <f t="shared" ref="S67:S70" si="36">GEOMEAN(K67,M67,O67)</f>
        <v>390316.59986857465</v>
      </c>
      <c r="T67" s="30"/>
      <c r="U67" s="28"/>
    </row>
    <row r="68" spans="1:21" ht="141" customHeight="1" x14ac:dyDescent="0.2">
      <c r="A68" s="20">
        <v>60</v>
      </c>
      <c r="B68" s="21" t="s">
        <v>145</v>
      </c>
      <c r="C68" s="21"/>
      <c r="D68" s="21" t="s">
        <v>146</v>
      </c>
      <c r="E68" s="23" t="s">
        <v>22</v>
      </c>
      <c r="F68" s="20">
        <v>1</v>
      </c>
      <c r="G68" s="20" t="s">
        <v>31</v>
      </c>
      <c r="H68" s="24"/>
      <c r="I68" s="24"/>
      <c r="J68" s="28">
        <f>260924*1.19</f>
        <v>310499.56</v>
      </c>
      <c r="K68" s="26">
        <f t="shared" si="33"/>
        <v>310499.56</v>
      </c>
      <c r="L68" s="27">
        <f>15838*1.19</f>
        <v>18847.219999999998</v>
      </c>
      <c r="M68" s="28">
        <f t="shared" si="34"/>
        <v>18847.219999999998</v>
      </c>
      <c r="N68" s="27">
        <f>60666.67*1.19</f>
        <v>72193.337299999999</v>
      </c>
      <c r="O68" s="28">
        <f t="shared" ref="O68:O111" si="37">+N68*F68</f>
        <v>72193.337299999999</v>
      </c>
      <c r="P68" s="29">
        <f t="shared" si="35"/>
        <v>133846.70576666665</v>
      </c>
      <c r="Q68" s="28"/>
      <c r="R68" s="24">
        <f t="shared" si="6"/>
        <v>72193.337299999999</v>
      </c>
      <c r="S68" s="24">
        <f t="shared" si="36"/>
        <v>75035.791714675914</v>
      </c>
      <c r="T68" s="30"/>
      <c r="U68" s="28"/>
    </row>
    <row r="69" spans="1:21" ht="141" customHeight="1" x14ac:dyDescent="0.2">
      <c r="A69" s="20">
        <v>61</v>
      </c>
      <c r="B69" s="21" t="s">
        <v>147</v>
      </c>
      <c r="C69" s="21"/>
      <c r="D69" s="21" t="s">
        <v>148</v>
      </c>
      <c r="E69" s="23" t="s">
        <v>22</v>
      </c>
      <c r="F69" s="20">
        <v>1</v>
      </c>
      <c r="G69" s="20" t="s">
        <v>31</v>
      </c>
      <c r="H69" s="24"/>
      <c r="I69" s="24"/>
      <c r="J69" s="28">
        <f>1305630*1.19</f>
        <v>1553699.7</v>
      </c>
      <c r="K69" s="26">
        <f t="shared" si="33"/>
        <v>1553699.7</v>
      </c>
      <c r="L69" s="27">
        <f>52416*1.19</f>
        <v>62375.039999999994</v>
      </c>
      <c r="M69" s="28">
        <f t="shared" si="34"/>
        <v>62375.039999999994</v>
      </c>
      <c r="N69" s="27"/>
      <c r="O69" s="28"/>
      <c r="P69" s="29">
        <f t="shared" si="35"/>
        <v>808037.37</v>
      </c>
      <c r="Q69" s="28"/>
      <c r="R69" s="24">
        <f t="shared" si="6"/>
        <v>808037.37</v>
      </c>
      <c r="S69" s="24">
        <f t="shared" si="36"/>
        <v>311307.05249879579</v>
      </c>
      <c r="T69" s="30"/>
      <c r="U69" s="28"/>
    </row>
    <row r="70" spans="1:21" ht="141" customHeight="1" x14ac:dyDescent="0.2">
      <c r="A70" s="20">
        <v>62</v>
      </c>
      <c r="B70" s="21" t="s">
        <v>149</v>
      </c>
      <c r="C70" s="21"/>
      <c r="D70" s="21" t="s">
        <v>150</v>
      </c>
      <c r="E70" s="23" t="s">
        <v>22</v>
      </c>
      <c r="F70" s="20">
        <v>5</v>
      </c>
      <c r="G70" s="20" t="s">
        <v>31</v>
      </c>
      <c r="H70" s="24"/>
      <c r="I70" s="24"/>
      <c r="J70" s="28">
        <f>784024*1.19</f>
        <v>932988.55999999994</v>
      </c>
      <c r="K70" s="26">
        <f t="shared" si="33"/>
        <v>4664942.8</v>
      </c>
      <c r="L70" s="27">
        <f>138235*1.19</f>
        <v>164499.65</v>
      </c>
      <c r="M70" s="28">
        <f t="shared" si="34"/>
        <v>822498.25</v>
      </c>
      <c r="N70" s="27">
        <f>120266.67*1.19</f>
        <v>143117.33729999998</v>
      </c>
      <c r="O70" s="28">
        <f t="shared" si="37"/>
        <v>715586.68649999995</v>
      </c>
      <c r="P70" s="29">
        <f t="shared" si="35"/>
        <v>2067675.9121666665</v>
      </c>
      <c r="Q70" s="28"/>
      <c r="R70" s="24">
        <f t="shared" si="6"/>
        <v>822498.25</v>
      </c>
      <c r="S70" s="24">
        <f t="shared" si="36"/>
        <v>1400278.8175284625</v>
      </c>
      <c r="T70" s="30"/>
      <c r="U70" s="28"/>
    </row>
    <row r="71" spans="1:21" x14ac:dyDescent="0.2">
      <c r="A71" s="284" t="s">
        <v>151</v>
      </c>
      <c r="B71" s="285"/>
      <c r="C71" s="285"/>
      <c r="D71" s="285"/>
      <c r="E71" s="285"/>
      <c r="F71" s="286"/>
      <c r="G71" s="6"/>
      <c r="H71" s="7"/>
      <c r="I71" s="7"/>
      <c r="J71" s="8">
        <f>+J72</f>
        <v>6566.42</v>
      </c>
      <c r="K71" s="8">
        <f t="shared" ref="K71:S71" si="38">+K72</f>
        <v>6566.42</v>
      </c>
      <c r="L71" s="8">
        <f t="shared" si="38"/>
        <v>0</v>
      </c>
      <c r="M71" s="8">
        <f t="shared" si="38"/>
        <v>0</v>
      </c>
      <c r="N71" s="8">
        <f t="shared" si="38"/>
        <v>28905999.639999997</v>
      </c>
      <c r="O71" s="8">
        <f t="shared" si="38"/>
        <v>28905999.639999997</v>
      </c>
      <c r="P71" s="8">
        <f t="shared" si="38"/>
        <v>14456283.029999999</v>
      </c>
      <c r="Q71" s="8">
        <f t="shared" si="38"/>
        <v>6566.42</v>
      </c>
      <c r="R71" s="8">
        <f t="shared" si="38"/>
        <v>14456283.029999997</v>
      </c>
      <c r="S71" s="8">
        <f t="shared" si="38"/>
        <v>435670.67167309852</v>
      </c>
      <c r="U71" s="67">
        <f>+U72</f>
        <v>0</v>
      </c>
    </row>
    <row r="72" spans="1:21" s="19" customFormat="1" ht="141" customHeight="1" x14ac:dyDescent="0.2">
      <c r="A72" s="10">
        <v>63</v>
      </c>
      <c r="B72" s="11" t="s">
        <v>152</v>
      </c>
      <c r="C72" s="11"/>
      <c r="D72" s="11" t="s">
        <v>153</v>
      </c>
      <c r="E72" s="13" t="s">
        <v>22</v>
      </c>
      <c r="F72" s="10">
        <v>1</v>
      </c>
      <c r="G72" s="10" t="s">
        <v>31</v>
      </c>
      <c r="H72" s="14"/>
      <c r="I72" s="14"/>
      <c r="J72" s="15">
        <f>5518*1.19</f>
        <v>6566.42</v>
      </c>
      <c r="K72" s="16">
        <f t="shared" ref="K72" si="39">+J72*F72</f>
        <v>6566.42</v>
      </c>
      <c r="L72" s="17"/>
      <c r="M72" s="15"/>
      <c r="N72" s="17">
        <f>24290756*1.19</f>
        <v>28905999.639999997</v>
      </c>
      <c r="O72" s="15">
        <f t="shared" si="37"/>
        <v>28905999.639999997</v>
      </c>
      <c r="P72" s="15">
        <f>AVERAGE(K72,M72,O72)</f>
        <v>14456283.029999999</v>
      </c>
      <c r="Q72" s="15">
        <f>+MIN(K72,M72,O72)</f>
        <v>6566.42</v>
      </c>
      <c r="R72" s="14">
        <f t="shared" si="6"/>
        <v>14456283.029999997</v>
      </c>
      <c r="S72" s="14">
        <f>GEOMEAN(K72,M72,O72)</f>
        <v>435670.67167309852</v>
      </c>
      <c r="T72" s="18"/>
      <c r="U72" s="15"/>
    </row>
    <row r="73" spans="1:21" ht="26.25" customHeight="1" x14ac:dyDescent="0.2">
      <c r="A73" s="284" t="s">
        <v>154</v>
      </c>
      <c r="B73" s="285"/>
      <c r="C73" s="285"/>
      <c r="D73" s="285"/>
      <c r="E73" s="285"/>
      <c r="F73" s="286"/>
      <c r="G73" s="6"/>
      <c r="H73" s="7"/>
      <c r="I73" s="7"/>
      <c r="J73" s="8">
        <f t="shared" ref="J73:S73" si="40">SUM(J74:J77)</f>
        <v>8243999.8899999997</v>
      </c>
      <c r="K73" s="8">
        <f t="shared" si="40"/>
        <v>12903599.590000002</v>
      </c>
      <c r="L73" s="8">
        <f t="shared" si="40"/>
        <v>1794354.5899999999</v>
      </c>
      <c r="M73" s="8">
        <f t="shared" si="40"/>
        <v>2294229.5599999996</v>
      </c>
      <c r="N73" s="8">
        <f t="shared" si="40"/>
        <v>310193.33730000001</v>
      </c>
      <c r="O73" s="8">
        <f t="shared" si="40"/>
        <v>620386.67460000003</v>
      </c>
      <c r="P73" s="9">
        <f t="shared" si="40"/>
        <v>7285735.4681999991</v>
      </c>
      <c r="Q73" s="8">
        <f t="shared" si="40"/>
        <v>1420085.7146000001</v>
      </c>
      <c r="R73" s="8">
        <f t="shared" si="40"/>
        <v>4639040.0699999994</v>
      </c>
      <c r="S73" s="8">
        <f t="shared" si="40"/>
        <v>5351751.6414802056</v>
      </c>
      <c r="U73" s="66">
        <f>SUM(U74:U77)</f>
        <v>0</v>
      </c>
    </row>
    <row r="74" spans="1:21" s="19" customFormat="1" ht="141" customHeight="1" x14ac:dyDescent="0.2">
      <c r="A74" s="10">
        <v>64</v>
      </c>
      <c r="B74" s="11" t="s">
        <v>155</v>
      </c>
      <c r="C74" s="11"/>
      <c r="D74" s="11" t="s">
        <v>156</v>
      </c>
      <c r="E74" s="13" t="s">
        <v>22</v>
      </c>
      <c r="F74" s="10">
        <v>1</v>
      </c>
      <c r="G74" s="10" t="s">
        <v>31</v>
      </c>
      <c r="H74" s="14"/>
      <c r="I74" s="14"/>
      <c r="J74" s="15">
        <f>2016555*1.19</f>
        <v>2399700.4499999997</v>
      </c>
      <c r="K74" s="16">
        <f t="shared" ref="K74:K77" si="41">+J74*F74</f>
        <v>2399700.4499999997</v>
      </c>
      <c r="L74" s="17"/>
      <c r="M74" s="15"/>
      <c r="N74" s="17"/>
      <c r="O74" s="15"/>
      <c r="P74" s="15">
        <f t="shared" ref="P74:P77" si="42">AVERAGE(K74,M74,O74)</f>
        <v>2399700.4499999997</v>
      </c>
      <c r="Q74" s="15"/>
      <c r="R74" s="14">
        <f t="shared" si="6"/>
        <v>2399700.4499999997</v>
      </c>
      <c r="S74" s="14">
        <f t="shared" ref="S74:S77" si="43">GEOMEAN(K74,M74,O74)</f>
        <v>2399700.4499999997</v>
      </c>
      <c r="T74" s="18"/>
      <c r="U74" s="15"/>
    </row>
    <row r="75" spans="1:21" s="19" customFormat="1" ht="141" customHeight="1" x14ac:dyDescent="0.2">
      <c r="A75" s="10">
        <v>65</v>
      </c>
      <c r="B75" s="11" t="s">
        <v>157</v>
      </c>
      <c r="C75" s="11"/>
      <c r="D75" s="11" t="s">
        <v>158</v>
      </c>
      <c r="E75" s="13" t="s">
        <v>22</v>
      </c>
      <c r="F75" s="10">
        <v>1</v>
      </c>
      <c r="G75" s="10" t="s">
        <v>31</v>
      </c>
      <c r="H75" s="14"/>
      <c r="I75" s="14"/>
      <c r="J75" s="15">
        <f>554622*1.19</f>
        <v>660000.17999999993</v>
      </c>
      <c r="K75" s="16">
        <f t="shared" si="41"/>
        <v>660000.17999999993</v>
      </c>
      <c r="L75" s="17">
        <f>231092*1.19</f>
        <v>274999.48</v>
      </c>
      <c r="M75" s="15">
        <f t="shared" ref="M75:M77" si="44">+L75*F75</f>
        <v>274999.48</v>
      </c>
      <c r="N75" s="17"/>
      <c r="O75" s="15"/>
      <c r="P75" s="15">
        <f t="shared" si="42"/>
        <v>467499.82999999996</v>
      </c>
      <c r="Q75" s="15">
        <f t="shared" ref="Q75:Q77" si="45">+MIN(K75,M75,O75)</f>
        <v>274999.48</v>
      </c>
      <c r="R75" s="14">
        <f t="shared" si="6"/>
        <v>467499.82999999996</v>
      </c>
      <c r="S75" s="14">
        <f t="shared" si="43"/>
        <v>426027.82338704873</v>
      </c>
      <c r="T75" s="18"/>
      <c r="U75" s="15"/>
    </row>
    <row r="76" spans="1:21" s="19" customFormat="1" ht="141" customHeight="1" x14ac:dyDescent="0.2">
      <c r="A76" s="10">
        <v>66</v>
      </c>
      <c r="B76" s="11" t="s">
        <v>159</v>
      </c>
      <c r="C76" s="11"/>
      <c r="D76" s="11" t="s">
        <v>160</v>
      </c>
      <c r="E76" s="13" t="s">
        <v>22</v>
      </c>
      <c r="F76" s="10">
        <v>2</v>
      </c>
      <c r="G76" s="10" t="s">
        <v>23</v>
      </c>
      <c r="H76" s="14"/>
      <c r="I76" s="14"/>
      <c r="J76" s="15">
        <f>3915630*1.19</f>
        <v>4659599.7</v>
      </c>
      <c r="K76" s="16">
        <f t="shared" si="41"/>
        <v>9319199.4000000004</v>
      </c>
      <c r="L76" s="17">
        <f>420063*1.19</f>
        <v>499874.97</v>
      </c>
      <c r="M76" s="15">
        <f t="shared" si="44"/>
        <v>999749.94</v>
      </c>
      <c r="N76" s="17">
        <f>260666.67*1.19</f>
        <v>310193.33730000001</v>
      </c>
      <c r="O76" s="15">
        <f t="shared" si="37"/>
        <v>620386.67460000003</v>
      </c>
      <c r="P76" s="15">
        <f t="shared" si="42"/>
        <v>3646445.3381999996</v>
      </c>
      <c r="Q76" s="15">
        <f t="shared" si="45"/>
        <v>620386.67460000003</v>
      </c>
      <c r="R76" s="14">
        <f t="shared" si="6"/>
        <v>999749.94</v>
      </c>
      <c r="S76" s="14">
        <f t="shared" si="43"/>
        <v>1794640.581252546</v>
      </c>
      <c r="T76" s="18"/>
      <c r="U76" s="15"/>
    </row>
    <row r="77" spans="1:21" s="19" customFormat="1" ht="141" customHeight="1" x14ac:dyDescent="0.2">
      <c r="A77" s="10">
        <v>67</v>
      </c>
      <c r="B77" s="11" t="s">
        <v>161</v>
      </c>
      <c r="C77" s="11"/>
      <c r="D77" s="11" t="s">
        <v>162</v>
      </c>
      <c r="E77" s="13" t="s">
        <v>107</v>
      </c>
      <c r="F77" s="10">
        <v>1</v>
      </c>
      <c r="G77" s="10" t="s">
        <v>23</v>
      </c>
      <c r="H77" s="14"/>
      <c r="I77" s="14"/>
      <c r="J77" s="15">
        <f>440924*1.19</f>
        <v>524699.55999999994</v>
      </c>
      <c r="K77" s="16">
        <f t="shared" si="41"/>
        <v>524699.55999999994</v>
      </c>
      <c r="L77" s="17">
        <f>856706*1.19</f>
        <v>1019480.1399999999</v>
      </c>
      <c r="M77" s="15">
        <f t="shared" si="44"/>
        <v>1019480.1399999999</v>
      </c>
      <c r="N77" s="17"/>
      <c r="O77" s="15"/>
      <c r="P77" s="15">
        <f t="shared" si="42"/>
        <v>772089.84999999986</v>
      </c>
      <c r="Q77" s="15">
        <f t="shared" si="45"/>
        <v>524699.55999999994</v>
      </c>
      <c r="R77" s="14">
        <f t="shared" si="6"/>
        <v>772089.84999999986</v>
      </c>
      <c r="S77" s="14">
        <f t="shared" si="43"/>
        <v>731382.78684061079</v>
      </c>
      <c r="T77" s="18"/>
      <c r="U77" s="15"/>
    </row>
    <row r="78" spans="1:21" x14ac:dyDescent="0.2">
      <c r="A78" s="284" t="s">
        <v>163</v>
      </c>
      <c r="B78" s="285"/>
      <c r="C78" s="285"/>
      <c r="D78" s="285"/>
      <c r="E78" s="285"/>
      <c r="F78" s="286"/>
      <c r="G78" s="6"/>
      <c r="H78" s="7"/>
      <c r="I78" s="7"/>
      <c r="J78" s="8">
        <f t="shared" ref="J78:S78" si="46">SUM(J79:J79)</f>
        <v>267000.3</v>
      </c>
      <c r="K78" s="8">
        <f t="shared" si="46"/>
        <v>534000.6</v>
      </c>
      <c r="L78" s="8">
        <f t="shared" si="46"/>
        <v>205623.66999999998</v>
      </c>
      <c r="M78" s="8">
        <f t="shared" si="46"/>
        <v>411247.33999999997</v>
      </c>
      <c r="N78" s="8">
        <f t="shared" si="46"/>
        <v>0</v>
      </c>
      <c r="O78" s="8">
        <f t="shared" si="46"/>
        <v>0</v>
      </c>
      <c r="P78" s="9">
        <f t="shared" si="46"/>
        <v>472623.97</v>
      </c>
      <c r="Q78" s="8">
        <f t="shared" si="46"/>
        <v>411247.33999999997</v>
      </c>
      <c r="R78" s="8">
        <f t="shared" si="46"/>
        <v>472623.97</v>
      </c>
      <c r="S78" s="8">
        <f t="shared" si="46"/>
        <v>468621.73051236535</v>
      </c>
      <c r="U78" s="8">
        <f>SUM(U79:U79)</f>
        <v>0</v>
      </c>
    </row>
    <row r="79" spans="1:21" s="19" customFormat="1" ht="141" customHeight="1" x14ac:dyDescent="0.2">
      <c r="A79" s="10">
        <v>68</v>
      </c>
      <c r="B79" s="11" t="s">
        <v>164</v>
      </c>
      <c r="C79" s="11"/>
      <c r="D79" s="11" t="s">
        <v>165</v>
      </c>
      <c r="E79" s="13" t="s">
        <v>22</v>
      </c>
      <c r="F79" s="10">
        <v>2</v>
      </c>
      <c r="G79" s="10" t="s">
        <v>23</v>
      </c>
      <c r="H79" s="14"/>
      <c r="I79" s="14"/>
      <c r="J79" s="15">
        <f>224370*1.19</f>
        <v>267000.3</v>
      </c>
      <c r="K79" s="16">
        <f t="shared" ref="K79" si="47">+J79*F79</f>
        <v>534000.6</v>
      </c>
      <c r="L79" s="17">
        <f>172793*1.19</f>
        <v>205623.66999999998</v>
      </c>
      <c r="M79" s="15">
        <f>+L79*F79</f>
        <v>411247.33999999997</v>
      </c>
      <c r="N79" s="17"/>
      <c r="O79" s="15"/>
      <c r="P79" s="15">
        <f>AVERAGE(K79,M79,O79)</f>
        <v>472623.97</v>
      </c>
      <c r="Q79" s="15">
        <f t="shared" ref="Q79" si="48">+MIN(K79,M79,O79)</f>
        <v>411247.33999999997</v>
      </c>
      <c r="R79" s="14">
        <f t="shared" si="6"/>
        <v>472623.97</v>
      </c>
      <c r="S79" s="14">
        <f>GEOMEAN(K79,M79,O79)</f>
        <v>468621.73051236535</v>
      </c>
      <c r="T79" s="18"/>
      <c r="U79" s="15"/>
    </row>
    <row r="80" spans="1:21" x14ac:dyDescent="0.2">
      <c r="A80" s="284" t="s">
        <v>166</v>
      </c>
      <c r="B80" s="285"/>
      <c r="C80" s="285"/>
      <c r="D80" s="285"/>
      <c r="E80" s="285"/>
      <c r="F80" s="286"/>
      <c r="G80" s="6"/>
      <c r="H80" s="7"/>
      <c r="I80" s="7"/>
      <c r="J80" s="8">
        <f t="shared" ref="J80:S80" si="49">SUM(J81:J81)</f>
        <v>5602499.7699999996</v>
      </c>
      <c r="K80" s="8">
        <f t="shared" si="49"/>
        <v>5602499.7699999996</v>
      </c>
      <c r="L80" s="8">
        <f t="shared" si="49"/>
        <v>374999.94</v>
      </c>
      <c r="M80" s="8">
        <f t="shared" si="49"/>
        <v>374999.94</v>
      </c>
      <c r="N80" s="8">
        <f t="shared" si="49"/>
        <v>0</v>
      </c>
      <c r="O80" s="8">
        <f t="shared" si="49"/>
        <v>0</v>
      </c>
      <c r="P80" s="9">
        <f t="shared" si="49"/>
        <v>2988749.855</v>
      </c>
      <c r="Q80" s="8">
        <f t="shared" si="49"/>
        <v>374999.94</v>
      </c>
      <c r="R80" s="8">
        <f t="shared" si="49"/>
        <v>2988749.8549999995</v>
      </c>
      <c r="S80" s="8">
        <f t="shared" si="49"/>
        <v>1449460.9610472487</v>
      </c>
      <c r="U80" s="8">
        <f>SUM(U81:U81)</f>
        <v>0</v>
      </c>
    </row>
    <row r="81" spans="1:21" s="19" customFormat="1" ht="141" customHeight="1" x14ac:dyDescent="0.2">
      <c r="A81" s="10">
        <v>69</v>
      </c>
      <c r="B81" s="11" t="s">
        <v>167</v>
      </c>
      <c r="C81" s="11"/>
      <c r="D81" s="11" t="s">
        <v>168</v>
      </c>
      <c r="E81" s="13" t="s">
        <v>22</v>
      </c>
      <c r="F81" s="10">
        <v>1</v>
      </c>
      <c r="G81" s="10" t="s">
        <v>31</v>
      </c>
      <c r="H81" s="14"/>
      <c r="I81" s="14"/>
      <c r="J81" s="15">
        <f>4707983*1.19</f>
        <v>5602499.7699999996</v>
      </c>
      <c r="K81" s="16">
        <f t="shared" ref="K81" si="50">+J81*F81</f>
        <v>5602499.7699999996</v>
      </c>
      <c r="L81" s="17">
        <f>315126*1.19</f>
        <v>374999.94</v>
      </c>
      <c r="M81" s="15">
        <f>+L81*F81</f>
        <v>374999.94</v>
      </c>
      <c r="N81" s="17"/>
      <c r="O81" s="15"/>
      <c r="P81" s="15">
        <f>AVERAGE(K81,M81,O81)</f>
        <v>2988749.855</v>
      </c>
      <c r="Q81" s="15">
        <f t="shared" ref="Q81" si="51">+MIN(K81,M81,O81)</f>
        <v>374999.94</v>
      </c>
      <c r="R81" s="14">
        <f t="shared" si="6"/>
        <v>2988749.8549999995</v>
      </c>
      <c r="S81" s="14">
        <f>GEOMEAN(K81,M81,O81)</f>
        <v>1449460.9610472487</v>
      </c>
      <c r="T81" s="18"/>
      <c r="U81" s="15"/>
    </row>
    <row r="82" spans="1:21" x14ac:dyDescent="0.2">
      <c r="A82" s="284" t="s">
        <v>169</v>
      </c>
      <c r="B82" s="285"/>
      <c r="C82" s="285"/>
      <c r="D82" s="285"/>
      <c r="E82" s="285"/>
      <c r="F82" s="286"/>
      <c r="G82" s="6"/>
      <c r="H82" s="7"/>
      <c r="I82" s="7"/>
      <c r="J82" s="8">
        <f t="shared" ref="J82:S82" si="52">SUM(J83:J85)</f>
        <v>4544793.26</v>
      </c>
      <c r="K82" s="8">
        <f t="shared" si="52"/>
        <v>7710671.6399999997</v>
      </c>
      <c r="L82" s="8">
        <f t="shared" si="52"/>
        <v>972413.26</v>
      </c>
      <c r="M82" s="8">
        <f t="shared" si="52"/>
        <v>2234028.65</v>
      </c>
      <c r="N82" s="8">
        <f t="shared" si="52"/>
        <v>1878296</v>
      </c>
      <c r="O82" s="8">
        <f t="shared" si="52"/>
        <v>3187296</v>
      </c>
      <c r="P82" s="8">
        <f t="shared" si="52"/>
        <v>4377332.0966666667</v>
      </c>
      <c r="Q82" s="8">
        <f t="shared" si="52"/>
        <v>2107357.9099999997</v>
      </c>
      <c r="R82" s="8">
        <f t="shared" si="52"/>
        <v>3313966.74</v>
      </c>
      <c r="S82" s="8">
        <f t="shared" si="52"/>
        <v>3649010.3464536574</v>
      </c>
      <c r="U82" s="8">
        <f>SUM(U83:U85)</f>
        <v>0</v>
      </c>
    </row>
    <row r="83" spans="1:21" ht="141" customHeight="1" x14ac:dyDescent="0.2">
      <c r="A83" s="20">
        <v>70</v>
      </c>
      <c r="B83" s="21" t="s">
        <v>170</v>
      </c>
      <c r="C83" s="21"/>
      <c r="D83" s="21" t="s">
        <v>171</v>
      </c>
      <c r="E83" s="23" t="s">
        <v>22</v>
      </c>
      <c r="F83" s="20">
        <v>2</v>
      </c>
      <c r="G83" s="20" t="s">
        <v>23</v>
      </c>
      <c r="H83" s="24"/>
      <c r="I83" s="24"/>
      <c r="J83" s="28">
        <f>882101*1.19</f>
        <v>1049700.19</v>
      </c>
      <c r="K83" s="26">
        <f t="shared" ref="K83:K85" si="53">+J83*F83</f>
        <v>2099400.38</v>
      </c>
      <c r="L83" s="27">
        <f>319223*1.19</f>
        <v>379875.37</v>
      </c>
      <c r="M83" s="28">
        <f t="shared" ref="M83:M85" si="54">+L83*F83</f>
        <v>759750.74</v>
      </c>
      <c r="N83" s="27">
        <f>266000*1.19</f>
        <v>316540</v>
      </c>
      <c r="O83" s="28">
        <f t="shared" si="37"/>
        <v>633080</v>
      </c>
      <c r="P83" s="29">
        <f t="shared" ref="P83:P85" si="55">AVERAGE(K83,M83,O83)</f>
        <v>1164077.04</v>
      </c>
      <c r="Q83" s="28">
        <f t="shared" ref="Q83:Q85" si="56">+MIN(K83,M83,O83)</f>
        <v>633080</v>
      </c>
      <c r="R83" s="24">
        <f t="shared" si="6"/>
        <v>759750.74</v>
      </c>
      <c r="S83" s="24">
        <f t="shared" ref="S83:S85" si="57">GEOMEAN(K83,M83,O83)</f>
        <v>1003248.0685552646</v>
      </c>
      <c r="T83" s="30"/>
      <c r="U83" s="28"/>
    </row>
    <row r="84" spans="1:21" ht="141" customHeight="1" x14ac:dyDescent="0.2">
      <c r="A84" s="20">
        <v>71</v>
      </c>
      <c r="B84" s="21" t="s">
        <v>172</v>
      </c>
      <c r="C84" s="21"/>
      <c r="D84" s="21" t="s">
        <v>173</v>
      </c>
      <c r="E84" s="23" t="s">
        <v>22</v>
      </c>
      <c r="F84" s="20">
        <v>4</v>
      </c>
      <c r="G84" s="20" t="s">
        <v>23</v>
      </c>
      <c r="H84" s="24"/>
      <c r="I84" s="24"/>
      <c r="J84" s="28">
        <f>592767*1.19</f>
        <v>705392.73</v>
      </c>
      <c r="K84" s="26">
        <f t="shared" si="53"/>
        <v>2821570.92</v>
      </c>
      <c r="L84" s="27">
        <f>246986*1.19</f>
        <v>293913.33999999997</v>
      </c>
      <c r="M84" s="28">
        <f t="shared" si="54"/>
        <v>1175653.3599999999</v>
      </c>
      <c r="N84" s="27">
        <f>278000*1.19</f>
        <v>330820</v>
      </c>
      <c r="O84" s="28">
        <f t="shared" si="37"/>
        <v>1323280</v>
      </c>
      <c r="P84" s="29">
        <f t="shared" si="55"/>
        <v>1773501.4266666665</v>
      </c>
      <c r="Q84" s="28">
        <f t="shared" si="56"/>
        <v>1175653.3599999999</v>
      </c>
      <c r="R84" s="24">
        <f t="shared" ref="R84:R85" si="58">MEDIAN(K84,M84,O84)</f>
        <v>1323280</v>
      </c>
      <c r="S84" s="24">
        <f t="shared" si="57"/>
        <v>1637346.7781982904</v>
      </c>
      <c r="T84" s="30"/>
      <c r="U84" s="28"/>
    </row>
    <row r="85" spans="1:21" ht="141" customHeight="1" x14ac:dyDescent="0.2">
      <c r="A85" s="20">
        <v>72</v>
      </c>
      <c r="B85" s="21" t="s">
        <v>174</v>
      </c>
      <c r="C85" s="21"/>
      <c r="D85" s="21" t="s">
        <v>175</v>
      </c>
      <c r="E85" s="23" t="s">
        <v>22</v>
      </c>
      <c r="F85" s="20">
        <v>1</v>
      </c>
      <c r="G85" s="20" t="s">
        <v>23</v>
      </c>
      <c r="H85" s="24"/>
      <c r="I85" s="24"/>
      <c r="J85" s="28">
        <f>2344286*1.19</f>
        <v>2789700.34</v>
      </c>
      <c r="K85" s="26">
        <f t="shared" si="53"/>
        <v>2789700.34</v>
      </c>
      <c r="L85" s="27">
        <f>250945*1.19</f>
        <v>298624.55</v>
      </c>
      <c r="M85" s="28">
        <f t="shared" si="54"/>
        <v>298624.55</v>
      </c>
      <c r="N85" s="27">
        <f>1034400*1.19</f>
        <v>1230936</v>
      </c>
      <c r="O85" s="28">
        <f t="shared" si="37"/>
        <v>1230936</v>
      </c>
      <c r="P85" s="29">
        <f t="shared" si="55"/>
        <v>1439753.63</v>
      </c>
      <c r="Q85" s="28">
        <f t="shared" si="56"/>
        <v>298624.55</v>
      </c>
      <c r="R85" s="24">
        <f t="shared" si="58"/>
        <v>1230936</v>
      </c>
      <c r="S85" s="24">
        <f t="shared" si="57"/>
        <v>1008415.4997001026</v>
      </c>
      <c r="T85" s="30"/>
      <c r="U85" s="28"/>
    </row>
    <row r="86" spans="1:21" x14ac:dyDescent="0.2">
      <c r="A86" s="284" t="s">
        <v>176</v>
      </c>
      <c r="B86" s="285"/>
      <c r="C86" s="285"/>
      <c r="D86" s="285"/>
      <c r="E86" s="285"/>
      <c r="F86" s="286"/>
      <c r="G86" s="6"/>
      <c r="H86" s="7"/>
      <c r="I86" s="7"/>
      <c r="J86" s="8">
        <f t="shared" ref="J86:S86" si="59">SUM(J87:J98)</f>
        <v>2464404.3199999998</v>
      </c>
      <c r="K86" s="8">
        <f t="shared" si="59"/>
        <v>8218746.8999999985</v>
      </c>
      <c r="L86" s="8">
        <f t="shared" si="59"/>
        <v>1015125.93</v>
      </c>
      <c r="M86" s="8">
        <f t="shared" si="59"/>
        <v>3293503.5</v>
      </c>
      <c r="N86" s="8">
        <f t="shared" si="59"/>
        <v>732246.67460000003</v>
      </c>
      <c r="O86" s="8">
        <f t="shared" si="59"/>
        <v>2402848.0356999999</v>
      </c>
      <c r="P86" s="8">
        <f t="shared" si="59"/>
        <v>4961978.7118999995</v>
      </c>
      <c r="Q86" s="8">
        <f t="shared" si="59"/>
        <v>714746.95109999995</v>
      </c>
      <c r="R86" s="8">
        <f t="shared" si="59"/>
        <v>3708032.4673000001</v>
      </c>
      <c r="S86" s="8">
        <f t="shared" si="59"/>
        <v>4392340.7052371334</v>
      </c>
      <c r="U86" s="8">
        <f>SUM(U87:U98)</f>
        <v>0</v>
      </c>
    </row>
    <row r="87" spans="1:21" ht="141" customHeight="1" x14ac:dyDescent="0.2">
      <c r="A87" s="20">
        <v>73</v>
      </c>
      <c r="B87" s="21" t="s">
        <v>177</v>
      </c>
      <c r="C87" s="21"/>
      <c r="D87" s="21" t="s">
        <v>178</v>
      </c>
      <c r="E87" s="23" t="s">
        <v>22</v>
      </c>
      <c r="F87" s="20">
        <v>1</v>
      </c>
      <c r="G87" s="20" t="s">
        <v>23</v>
      </c>
      <c r="H87" s="24"/>
      <c r="I87" s="24"/>
      <c r="J87" s="28">
        <f>65244*1.19</f>
        <v>77640.36</v>
      </c>
      <c r="K87" s="26">
        <f t="shared" ref="K87:K98" si="60">+J87*F87</f>
        <v>77640.36</v>
      </c>
      <c r="L87" s="27">
        <f>38761*1.19</f>
        <v>46125.59</v>
      </c>
      <c r="M87" s="28">
        <f t="shared" ref="M87:M98" si="61">+L87*F87</f>
        <v>46125.59</v>
      </c>
      <c r="N87" s="27">
        <f>60666.67*1.19</f>
        <v>72193.337299999999</v>
      </c>
      <c r="O87" s="28">
        <f t="shared" si="37"/>
        <v>72193.337299999999</v>
      </c>
      <c r="P87" s="29">
        <f t="shared" ref="P87:P98" si="62">AVERAGE(K87,M87,O87)</f>
        <v>65319.76243333333</v>
      </c>
      <c r="Q87" s="28">
        <f t="shared" ref="Q87:Q98" si="63">+MIN(K87,M87,O87)</f>
        <v>46125.59</v>
      </c>
      <c r="R87" s="24">
        <f t="shared" ref="R87:R98" si="64">MEDIAN(K87,M87,O87)</f>
        <v>72193.337299999999</v>
      </c>
      <c r="S87" s="24">
        <f t="shared" ref="S87:S98" si="65">GEOMEAN(K87,M87,O87)</f>
        <v>63705.294994312324</v>
      </c>
      <c r="T87" s="30"/>
      <c r="U87" s="28"/>
    </row>
    <row r="88" spans="1:21" ht="141" customHeight="1" x14ac:dyDescent="0.2">
      <c r="A88" s="20">
        <v>75</v>
      </c>
      <c r="B88" s="21" t="s">
        <v>179</v>
      </c>
      <c r="C88" s="21"/>
      <c r="D88" s="21" t="s">
        <v>180</v>
      </c>
      <c r="E88" s="23" t="s">
        <v>22</v>
      </c>
      <c r="F88" s="20">
        <v>2</v>
      </c>
      <c r="G88" s="20" t="s">
        <v>23</v>
      </c>
      <c r="H88" s="24"/>
      <c r="I88" s="24"/>
      <c r="J88" s="28">
        <f>229160*1.19</f>
        <v>272700.39999999997</v>
      </c>
      <c r="K88" s="26">
        <f t="shared" si="60"/>
        <v>545400.79999999993</v>
      </c>
      <c r="L88" s="27">
        <f>95483*1.19</f>
        <v>113624.76999999999</v>
      </c>
      <c r="M88" s="28">
        <f t="shared" si="61"/>
        <v>227249.53999999998</v>
      </c>
      <c r="N88" s="27">
        <f>78000*1.19</f>
        <v>92820</v>
      </c>
      <c r="O88" s="28">
        <f t="shared" si="37"/>
        <v>185640</v>
      </c>
      <c r="P88" s="29">
        <f t="shared" si="62"/>
        <v>319430.11333333328</v>
      </c>
      <c r="Q88" s="28"/>
      <c r="R88" s="24">
        <f t="shared" si="64"/>
        <v>227249.53999999998</v>
      </c>
      <c r="S88" s="24">
        <f t="shared" si="65"/>
        <v>284422.17142379581</v>
      </c>
      <c r="T88" s="30"/>
      <c r="U88" s="28"/>
    </row>
    <row r="89" spans="1:21" ht="141" customHeight="1" x14ac:dyDescent="0.2">
      <c r="A89" s="20">
        <v>76</v>
      </c>
      <c r="B89" s="21" t="s">
        <v>181</v>
      </c>
      <c r="C89" s="21"/>
      <c r="D89" s="21" t="s">
        <v>182</v>
      </c>
      <c r="E89" s="23" t="s">
        <v>22</v>
      </c>
      <c r="F89" s="20">
        <v>4</v>
      </c>
      <c r="G89" s="20" t="s">
        <v>23</v>
      </c>
      <c r="H89" s="24"/>
      <c r="I89" s="24"/>
      <c r="J89" s="28">
        <f>440924*1.19</f>
        <v>524699.55999999994</v>
      </c>
      <c r="K89" s="26">
        <f t="shared" si="60"/>
        <v>2098798.2399999998</v>
      </c>
      <c r="L89" s="27">
        <f>183718*1.19</f>
        <v>218624.41999999998</v>
      </c>
      <c r="M89" s="28">
        <f t="shared" si="61"/>
        <v>874497.67999999993</v>
      </c>
      <c r="N89" s="27">
        <f>166933.33*1.19</f>
        <v>198650.66269999999</v>
      </c>
      <c r="O89" s="28">
        <f t="shared" si="37"/>
        <v>794602.65079999994</v>
      </c>
      <c r="P89" s="29">
        <f t="shared" si="62"/>
        <v>1255966.1902666667</v>
      </c>
      <c r="Q89" s="28"/>
      <c r="R89" s="24">
        <f t="shared" si="64"/>
        <v>874497.67999999993</v>
      </c>
      <c r="S89" s="24">
        <f t="shared" si="65"/>
        <v>1134034.9887029775</v>
      </c>
      <c r="T89" s="30"/>
      <c r="U89" s="28"/>
    </row>
    <row r="90" spans="1:21" ht="141" customHeight="1" x14ac:dyDescent="0.2">
      <c r="A90" s="20">
        <v>77</v>
      </c>
      <c r="B90" s="21" t="s">
        <v>183</v>
      </c>
      <c r="C90" s="21"/>
      <c r="D90" s="21" t="s">
        <v>184</v>
      </c>
      <c r="E90" s="23" t="s">
        <v>81</v>
      </c>
      <c r="F90" s="20">
        <v>4</v>
      </c>
      <c r="G90" s="20" t="s">
        <v>23</v>
      </c>
      <c r="H90" s="24"/>
      <c r="I90" s="24"/>
      <c r="J90" s="28">
        <f>70336*1.19</f>
        <v>83699.839999999997</v>
      </c>
      <c r="K90" s="26">
        <f t="shared" si="60"/>
        <v>334799.35999999999</v>
      </c>
      <c r="L90" s="27">
        <f>29307*1.19</f>
        <v>34875.33</v>
      </c>
      <c r="M90" s="28">
        <f t="shared" si="61"/>
        <v>139501.32</v>
      </c>
      <c r="N90" s="27"/>
      <c r="O90" s="28"/>
      <c r="P90" s="29">
        <f t="shared" si="62"/>
        <v>237150.34</v>
      </c>
      <c r="Q90" s="28"/>
      <c r="R90" s="24">
        <f t="shared" si="64"/>
        <v>237150.34</v>
      </c>
      <c r="S90" s="24">
        <f t="shared" si="65"/>
        <v>216113.28662337075</v>
      </c>
      <c r="T90" s="30"/>
      <c r="U90" s="28"/>
    </row>
    <row r="91" spans="1:21" ht="141" customHeight="1" x14ac:dyDescent="0.2">
      <c r="A91" s="20">
        <v>78</v>
      </c>
      <c r="B91" s="21" t="s">
        <v>185</v>
      </c>
      <c r="C91" s="21"/>
      <c r="D91" s="21" t="s">
        <v>186</v>
      </c>
      <c r="E91" s="23" t="s">
        <v>22</v>
      </c>
      <c r="F91" s="20">
        <v>2</v>
      </c>
      <c r="G91" s="20" t="s">
        <v>23</v>
      </c>
      <c r="H91" s="24"/>
      <c r="I91" s="24"/>
      <c r="J91" s="28">
        <f>335042*1.19</f>
        <v>398699.98</v>
      </c>
      <c r="K91" s="26">
        <f t="shared" si="60"/>
        <v>797399.96</v>
      </c>
      <c r="L91" s="27">
        <f>139601*1.19</f>
        <v>166125.19</v>
      </c>
      <c r="M91" s="28">
        <f t="shared" si="61"/>
        <v>332250.38</v>
      </c>
      <c r="N91" s="27">
        <f>124800*1.19</f>
        <v>148512</v>
      </c>
      <c r="O91" s="28">
        <f t="shared" si="37"/>
        <v>297024</v>
      </c>
      <c r="P91" s="29">
        <f t="shared" si="62"/>
        <v>475558.11333333328</v>
      </c>
      <c r="Q91" s="28"/>
      <c r="R91" s="24">
        <f t="shared" si="64"/>
        <v>332250.38</v>
      </c>
      <c r="S91" s="24">
        <f t="shared" si="65"/>
        <v>428526.56148128828</v>
      </c>
      <c r="T91" s="30"/>
      <c r="U91" s="28"/>
    </row>
    <row r="92" spans="1:21" ht="141" customHeight="1" x14ac:dyDescent="0.2">
      <c r="A92" s="20">
        <v>79</v>
      </c>
      <c r="B92" s="21" t="s">
        <v>187</v>
      </c>
      <c r="C92" s="21"/>
      <c r="D92" s="21" t="s">
        <v>358</v>
      </c>
      <c r="E92" s="23" t="s">
        <v>107</v>
      </c>
      <c r="F92" s="20">
        <v>2</v>
      </c>
      <c r="G92" s="20" t="s">
        <v>23</v>
      </c>
      <c r="H92" s="24"/>
      <c r="I92" s="24"/>
      <c r="J92" s="28">
        <f>280777*1.19</f>
        <v>334124.63</v>
      </c>
      <c r="K92" s="26">
        <f t="shared" si="60"/>
        <v>668249.26</v>
      </c>
      <c r="L92" s="27">
        <f>104517*1.19</f>
        <v>124375.23</v>
      </c>
      <c r="M92" s="28">
        <f t="shared" si="61"/>
        <v>248750.46</v>
      </c>
      <c r="N92" s="27"/>
      <c r="O92" s="28"/>
      <c r="P92" s="29">
        <f t="shared" si="62"/>
        <v>458499.86</v>
      </c>
      <c r="Q92" s="28"/>
      <c r="R92" s="24">
        <f t="shared" si="64"/>
        <v>458499.86</v>
      </c>
      <c r="S92" s="24">
        <f t="shared" si="65"/>
        <v>407709.83655003912</v>
      </c>
      <c r="T92" s="30"/>
      <c r="U92" s="28"/>
    </row>
    <row r="93" spans="1:21" ht="141" customHeight="1" x14ac:dyDescent="0.2">
      <c r="A93" s="20">
        <v>80</v>
      </c>
      <c r="B93" s="21" t="s">
        <v>189</v>
      </c>
      <c r="C93" s="21"/>
      <c r="D93" s="21" t="s">
        <v>188</v>
      </c>
      <c r="E93" s="23" t="s">
        <v>22</v>
      </c>
      <c r="F93" s="20">
        <v>3</v>
      </c>
      <c r="G93" s="20" t="s">
        <v>23</v>
      </c>
      <c r="H93" s="24"/>
      <c r="I93" s="24"/>
      <c r="J93" s="28">
        <f>140924*1.19</f>
        <v>167699.56</v>
      </c>
      <c r="K93" s="26">
        <f t="shared" si="60"/>
        <v>503098.68</v>
      </c>
      <c r="L93" s="27">
        <f>58718*1.19</f>
        <v>69874.42</v>
      </c>
      <c r="M93" s="28">
        <f t="shared" si="61"/>
        <v>209623.26</v>
      </c>
      <c r="N93" s="27">
        <f>56666.67*1.19</f>
        <v>67433.337299999999</v>
      </c>
      <c r="O93" s="28">
        <f t="shared" si="37"/>
        <v>202300.01189999998</v>
      </c>
      <c r="P93" s="29">
        <f t="shared" si="62"/>
        <v>305007.3173</v>
      </c>
      <c r="Q93" s="28"/>
      <c r="R93" s="24">
        <f t="shared" si="64"/>
        <v>209623.26</v>
      </c>
      <c r="S93" s="24">
        <f t="shared" si="65"/>
        <v>277350.86134196795</v>
      </c>
      <c r="T93" s="30"/>
      <c r="U93" s="28"/>
    </row>
    <row r="94" spans="1:21" ht="141" customHeight="1" x14ac:dyDescent="0.2">
      <c r="A94" s="20">
        <v>81</v>
      </c>
      <c r="B94" s="21" t="s">
        <v>190</v>
      </c>
      <c r="C94" s="21"/>
      <c r="D94" s="21" t="s">
        <v>191</v>
      </c>
      <c r="E94" s="23" t="s">
        <v>22</v>
      </c>
      <c r="F94" s="20">
        <v>5</v>
      </c>
      <c r="G94" s="20" t="s">
        <v>23</v>
      </c>
      <c r="H94" s="24"/>
      <c r="I94" s="24"/>
      <c r="J94" s="28">
        <f>65294*1.19</f>
        <v>77699.86</v>
      </c>
      <c r="K94" s="26">
        <f t="shared" si="60"/>
        <v>388499.3</v>
      </c>
      <c r="L94" s="27">
        <f>27206*1.19</f>
        <v>32375.14</v>
      </c>
      <c r="M94" s="28">
        <f t="shared" si="61"/>
        <v>161875.70000000001</v>
      </c>
      <c r="N94" s="27"/>
      <c r="O94" s="28"/>
      <c r="P94" s="29">
        <f t="shared" si="62"/>
        <v>275187.5</v>
      </c>
      <c r="Q94" s="28"/>
      <c r="R94" s="24">
        <f t="shared" si="64"/>
        <v>275187.5</v>
      </c>
      <c r="S94" s="24">
        <f t="shared" si="65"/>
        <v>250775.98795939377</v>
      </c>
      <c r="T94" s="30"/>
      <c r="U94" s="28"/>
    </row>
    <row r="95" spans="1:21" ht="141" customHeight="1" x14ac:dyDescent="0.2">
      <c r="A95" s="20">
        <v>82</v>
      </c>
      <c r="B95" s="21" t="s">
        <v>192</v>
      </c>
      <c r="C95" s="21"/>
      <c r="D95" s="21" t="s">
        <v>193</v>
      </c>
      <c r="E95" s="23" t="s">
        <v>22</v>
      </c>
      <c r="F95" s="20">
        <v>2</v>
      </c>
      <c r="G95" s="20" t="s">
        <v>23</v>
      </c>
      <c r="H95" s="24"/>
      <c r="I95" s="24"/>
      <c r="J95" s="28">
        <f>28992*1.19</f>
        <v>34500.479999999996</v>
      </c>
      <c r="K95" s="26">
        <f t="shared" si="60"/>
        <v>69000.959999999992</v>
      </c>
      <c r="L95" s="27">
        <f>42542*1.19</f>
        <v>50624.979999999996</v>
      </c>
      <c r="M95" s="28">
        <f t="shared" si="61"/>
        <v>101249.95999999999</v>
      </c>
      <c r="N95" s="27">
        <f>19333.33*1.19</f>
        <v>23006.662700000001</v>
      </c>
      <c r="O95" s="28">
        <f t="shared" si="37"/>
        <v>46013.325400000002</v>
      </c>
      <c r="P95" s="29">
        <f t="shared" si="62"/>
        <v>72088.0818</v>
      </c>
      <c r="Q95" s="28"/>
      <c r="R95" s="24">
        <f t="shared" si="64"/>
        <v>69000.959999999992</v>
      </c>
      <c r="S95" s="24">
        <f t="shared" si="65"/>
        <v>68503.254508020662</v>
      </c>
      <c r="T95" s="30"/>
      <c r="U95" s="28"/>
    </row>
    <row r="96" spans="1:21" ht="141" customHeight="1" x14ac:dyDescent="0.2">
      <c r="A96" s="20">
        <v>83</v>
      </c>
      <c r="B96" s="21" t="s">
        <v>194</v>
      </c>
      <c r="C96" s="21"/>
      <c r="D96" s="21" t="s">
        <v>195</v>
      </c>
      <c r="E96" s="23" t="s">
        <v>22</v>
      </c>
      <c r="F96" s="20">
        <v>4</v>
      </c>
      <c r="G96" s="20" t="s">
        <v>23</v>
      </c>
      <c r="H96" s="24"/>
      <c r="I96" s="24"/>
      <c r="J96" s="28">
        <f>200201*1.19</f>
        <v>238239.19</v>
      </c>
      <c r="K96" s="26">
        <f t="shared" si="60"/>
        <v>952956.76</v>
      </c>
      <c r="L96" s="27">
        <f>44013*1.19</f>
        <v>52375.47</v>
      </c>
      <c r="M96" s="28">
        <f t="shared" si="61"/>
        <v>209501.88</v>
      </c>
      <c r="N96" s="27">
        <f>28666.67*1.19</f>
        <v>34113.337299999999</v>
      </c>
      <c r="O96" s="28">
        <f t="shared" si="37"/>
        <v>136453.3492</v>
      </c>
      <c r="P96" s="29">
        <f t="shared" si="62"/>
        <v>432970.66306666675</v>
      </c>
      <c r="Q96" s="28"/>
      <c r="R96" s="24">
        <f t="shared" si="64"/>
        <v>209501.88</v>
      </c>
      <c r="S96" s="24">
        <f t="shared" si="65"/>
        <v>300895.09380388458</v>
      </c>
      <c r="T96" s="30"/>
      <c r="U96" s="28"/>
    </row>
    <row r="97" spans="1:22" ht="141" customHeight="1" x14ac:dyDescent="0.2">
      <c r="A97" s="20">
        <v>84</v>
      </c>
      <c r="B97" s="21" t="s">
        <v>196</v>
      </c>
      <c r="C97" s="21"/>
      <c r="D97" s="21" t="s">
        <v>197</v>
      </c>
      <c r="E97" s="23" t="s">
        <v>22</v>
      </c>
      <c r="F97" s="20">
        <v>5</v>
      </c>
      <c r="G97" s="20" t="s">
        <v>23</v>
      </c>
      <c r="H97" s="24"/>
      <c r="I97" s="24"/>
      <c r="J97" s="28"/>
      <c r="K97" s="26"/>
      <c r="L97" s="27"/>
      <c r="M97" s="28"/>
      <c r="N97" s="27"/>
      <c r="O97" s="28"/>
      <c r="P97" s="29"/>
      <c r="Q97" s="28"/>
      <c r="R97" s="24"/>
      <c r="S97" s="24"/>
      <c r="T97" s="30"/>
      <c r="U97" s="28"/>
    </row>
    <row r="98" spans="1:22" ht="141" customHeight="1" x14ac:dyDescent="0.2">
      <c r="A98" s="20">
        <v>85</v>
      </c>
      <c r="B98" s="21" t="s">
        <v>198</v>
      </c>
      <c r="C98" s="21"/>
      <c r="D98" s="21" t="s">
        <v>199</v>
      </c>
      <c r="E98" s="23" t="s">
        <v>22</v>
      </c>
      <c r="F98" s="20">
        <v>7</v>
      </c>
      <c r="G98" s="20" t="s">
        <v>23</v>
      </c>
      <c r="H98" s="24"/>
      <c r="I98" s="24"/>
      <c r="J98" s="28">
        <f>214034*1.19</f>
        <v>254700.46</v>
      </c>
      <c r="K98" s="26">
        <f t="shared" si="60"/>
        <v>1782903.22</v>
      </c>
      <c r="L98" s="27">
        <f>89181*1.19</f>
        <v>106125.39</v>
      </c>
      <c r="M98" s="28">
        <f t="shared" si="61"/>
        <v>742877.73</v>
      </c>
      <c r="N98" s="27">
        <f>80266.67*1.19</f>
        <v>95517.337299999999</v>
      </c>
      <c r="O98" s="28">
        <f t="shared" si="37"/>
        <v>668621.36109999998</v>
      </c>
      <c r="P98" s="29">
        <f t="shared" si="62"/>
        <v>1064800.7703666666</v>
      </c>
      <c r="Q98" s="28">
        <f t="shared" si="63"/>
        <v>668621.36109999998</v>
      </c>
      <c r="R98" s="24">
        <f t="shared" si="64"/>
        <v>742877.73</v>
      </c>
      <c r="S98" s="24">
        <f t="shared" si="65"/>
        <v>960303.36784808198</v>
      </c>
      <c r="T98" s="30"/>
      <c r="U98" s="28"/>
    </row>
    <row r="99" spans="1:22" x14ac:dyDescent="0.2">
      <c r="A99" s="284" t="s">
        <v>200</v>
      </c>
      <c r="B99" s="285"/>
      <c r="C99" s="285"/>
      <c r="D99" s="285"/>
      <c r="E99" s="285"/>
      <c r="F99" s="286"/>
      <c r="G99" s="6"/>
      <c r="H99" s="7"/>
      <c r="I99" s="7"/>
      <c r="J99" s="8">
        <f t="shared" ref="J99:S99" si="66">SUM(J100:J101)</f>
        <v>345374.88999999996</v>
      </c>
      <c r="K99" s="8">
        <f t="shared" si="66"/>
        <v>345374.88999999996</v>
      </c>
      <c r="L99" s="8">
        <f t="shared" si="66"/>
        <v>256124.88999999998</v>
      </c>
      <c r="M99" s="8">
        <f t="shared" si="66"/>
        <v>256124.88999999998</v>
      </c>
      <c r="N99" s="8">
        <f t="shared" si="66"/>
        <v>0</v>
      </c>
      <c r="O99" s="8">
        <f t="shared" si="66"/>
        <v>0</v>
      </c>
      <c r="P99" s="9">
        <f t="shared" si="66"/>
        <v>300749.89</v>
      </c>
      <c r="Q99" s="8">
        <f t="shared" si="66"/>
        <v>157500.07</v>
      </c>
      <c r="R99" s="8">
        <f t="shared" si="66"/>
        <v>300749.89</v>
      </c>
      <c r="S99" s="8">
        <f t="shared" si="66"/>
        <v>253904.75033079606</v>
      </c>
      <c r="U99" s="66">
        <f>SUM(U100:U101)</f>
        <v>0</v>
      </c>
    </row>
    <row r="100" spans="1:22" ht="173.25" x14ac:dyDescent="0.2">
      <c r="A100" s="20">
        <v>86</v>
      </c>
      <c r="B100" s="21" t="s">
        <v>201</v>
      </c>
      <c r="C100" s="21"/>
      <c r="D100" s="21" t="s">
        <v>202</v>
      </c>
      <c r="E100" s="23" t="s">
        <v>22</v>
      </c>
      <c r="F100" s="20">
        <v>1</v>
      </c>
      <c r="G100" s="20" t="s">
        <v>31</v>
      </c>
      <c r="H100" s="24"/>
      <c r="I100" s="24"/>
      <c r="J100" s="28">
        <f>100840*1.19</f>
        <v>119999.59999999999</v>
      </c>
      <c r="K100" s="26">
        <f t="shared" ref="K100:K101" si="67">+J100*F100</f>
        <v>119999.59999999999</v>
      </c>
      <c r="L100" s="27">
        <f>183718*1.19</f>
        <v>218624.41999999998</v>
      </c>
      <c r="M100" s="28">
        <f t="shared" ref="M100:M101" si="68">+L100*F100</f>
        <v>218624.41999999998</v>
      </c>
      <c r="N100" s="27"/>
      <c r="O100" s="28"/>
      <c r="P100" s="29">
        <f t="shared" ref="P100:P101" si="69">AVERAGE(K100,M100,O100)</f>
        <v>169312.00999999998</v>
      </c>
      <c r="Q100" s="28">
        <f t="shared" ref="Q100:Q101" si="70">+MIN(K100,M100,O100)</f>
        <v>119999.59999999999</v>
      </c>
      <c r="R100" s="24">
        <f t="shared" ref="R100:R101" si="71">MEDIAN(K100,M100,O100)</f>
        <v>169312.00999999998</v>
      </c>
      <c r="S100" s="24">
        <f t="shared" ref="S100:S101" si="72">GEOMEAN(K100,M100,O100)</f>
        <v>161971.73503494982</v>
      </c>
      <c r="T100" s="30"/>
      <c r="U100" s="28"/>
    </row>
    <row r="101" spans="1:22" ht="141" customHeight="1" x14ac:dyDescent="0.2">
      <c r="A101" s="20">
        <v>87</v>
      </c>
      <c r="B101" s="21" t="s">
        <v>203</v>
      </c>
      <c r="C101" s="21"/>
      <c r="D101" s="21" t="s">
        <v>204</v>
      </c>
      <c r="E101" s="23" t="s">
        <v>107</v>
      </c>
      <c r="F101" s="20">
        <v>1</v>
      </c>
      <c r="G101" s="20" t="s">
        <v>23</v>
      </c>
      <c r="H101" s="24"/>
      <c r="I101" s="24"/>
      <c r="J101" s="28">
        <f>189391*1.19</f>
        <v>225375.28999999998</v>
      </c>
      <c r="K101" s="26">
        <f t="shared" si="67"/>
        <v>225375.28999999998</v>
      </c>
      <c r="L101" s="27">
        <f>31513*1.19</f>
        <v>37500.47</v>
      </c>
      <c r="M101" s="28">
        <f t="shared" si="68"/>
        <v>37500.47</v>
      </c>
      <c r="N101" s="27"/>
      <c r="O101" s="28"/>
      <c r="P101" s="29">
        <f t="shared" si="69"/>
        <v>131437.88</v>
      </c>
      <c r="Q101" s="28">
        <f t="shared" si="70"/>
        <v>37500.47</v>
      </c>
      <c r="R101" s="24">
        <f t="shared" si="71"/>
        <v>131437.88</v>
      </c>
      <c r="S101" s="24">
        <f t="shared" si="72"/>
        <v>91933.015295846242</v>
      </c>
      <c r="T101" s="30"/>
      <c r="U101" s="28"/>
    </row>
    <row r="102" spans="1:22" x14ac:dyDescent="0.2">
      <c r="A102" s="284" t="s">
        <v>205</v>
      </c>
      <c r="B102" s="285"/>
      <c r="C102" s="285"/>
      <c r="D102" s="285"/>
      <c r="E102" s="285"/>
      <c r="F102" s="286"/>
      <c r="G102" s="6"/>
      <c r="H102" s="7"/>
      <c r="I102" s="7"/>
      <c r="J102" s="8">
        <f>+J103</f>
        <v>98699.79</v>
      </c>
      <c r="K102" s="8">
        <f t="shared" ref="K102:U102" si="73">+K103</f>
        <v>98699.79</v>
      </c>
      <c r="L102" s="8">
        <f t="shared" si="73"/>
        <v>41125.21</v>
      </c>
      <c r="M102" s="8">
        <f t="shared" si="73"/>
        <v>41125.21</v>
      </c>
      <c r="N102" s="8">
        <f t="shared" si="73"/>
        <v>45696</v>
      </c>
      <c r="O102" s="8">
        <f t="shared" si="73"/>
        <v>45696</v>
      </c>
      <c r="P102" s="9">
        <f t="shared" si="73"/>
        <v>61840.333333333336</v>
      </c>
      <c r="Q102" s="8">
        <f t="shared" si="73"/>
        <v>41125.21</v>
      </c>
      <c r="R102" s="8">
        <f t="shared" si="73"/>
        <v>45696</v>
      </c>
      <c r="S102" s="8">
        <f t="shared" si="73"/>
        <v>57029.668570069683</v>
      </c>
      <c r="U102" s="8">
        <f t="shared" si="73"/>
        <v>0</v>
      </c>
    </row>
    <row r="103" spans="1:22" ht="141" customHeight="1" x14ac:dyDescent="0.2">
      <c r="A103" s="20">
        <v>88</v>
      </c>
      <c r="B103" s="21" t="s">
        <v>206</v>
      </c>
      <c r="C103" s="21"/>
      <c r="D103" s="21" t="s">
        <v>207</v>
      </c>
      <c r="E103" s="23" t="s">
        <v>107</v>
      </c>
      <c r="F103" s="20">
        <v>1</v>
      </c>
      <c r="G103" s="20" t="s">
        <v>23</v>
      </c>
      <c r="H103" s="24"/>
      <c r="I103" s="24"/>
      <c r="J103" s="28">
        <f>82941*1.19</f>
        <v>98699.79</v>
      </c>
      <c r="K103" s="26">
        <f t="shared" ref="K103" si="74">+J103*F103</f>
        <v>98699.79</v>
      </c>
      <c r="L103" s="27">
        <f>34559*1.19</f>
        <v>41125.21</v>
      </c>
      <c r="M103" s="28">
        <f>+L103*F103</f>
        <v>41125.21</v>
      </c>
      <c r="N103" s="27">
        <f>38400*1.19</f>
        <v>45696</v>
      </c>
      <c r="O103" s="28">
        <f t="shared" si="37"/>
        <v>45696</v>
      </c>
      <c r="P103" s="29">
        <f>AVERAGE(K103,M103,O103)</f>
        <v>61840.333333333336</v>
      </c>
      <c r="Q103" s="28">
        <f>+MIN(K103,M103,O103)</f>
        <v>41125.21</v>
      </c>
      <c r="R103" s="24">
        <f t="shared" ref="R103" si="75">MEDIAN(K103,M103,O103)</f>
        <v>45696</v>
      </c>
      <c r="S103" s="24">
        <f>GEOMEAN(K103,M103,O103)</f>
        <v>57029.668570069683</v>
      </c>
      <c r="T103" s="30"/>
      <c r="U103" s="28"/>
    </row>
    <row r="104" spans="1:22" x14ac:dyDescent="0.2">
      <c r="A104" s="284" t="s">
        <v>208</v>
      </c>
      <c r="B104" s="285"/>
      <c r="C104" s="285"/>
      <c r="D104" s="285"/>
      <c r="E104" s="285"/>
      <c r="F104" s="286"/>
      <c r="G104" s="6"/>
      <c r="H104" s="7"/>
      <c r="I104" s="7"/>
      <c r="J104" s="8">
        <f>+J105</f>
        <v>1017000.1799999999</v>
      </c>
      <c r="K104" s="8">
        <f t="shared" ref="K104:U104" si="76">+K105</f>
        <v>9153001.6199999992</v>
      </c>
      <c r="L104" s="8">
        <f t="shared" si="76"/>
        <v>62375.039999999994</v>
      </c>
      <c r="M104" s="8">
        <f t="shared" si="76"/>
        <v>561375.36</v>
      </c>
      <c r="N104" s="8">
        <f t="shared" si="76"/>
        <v>157873.33730000001</v>
      </c>
      <c r="O104" s="8">
        <f t="shared" si="76"/>
        <v>1420860.0357000001</v>
      </c>
      <c r="P104" s="9">
        <f t="shared" si="76"/>
        <v>3711745.6719</v>
      </c>
      <c r="Q104" s="8">
        <f t="shared" si="76"/>
        <v>561375.36</v>
      </c>
      <c r="R104" s="8">
        <f t="shared" si="76"/>
        <v>1420860.0357000001</v>
      </c>
      <c r="S104" s="8">
        <f t="shared" si="76"/>
        <v>1939944.9003176808</v>
      </c>
      <c r="U104" s="8">
        <f t="shared" si="76"/>
        <v>0</v>
      </c>
    </row>
    <row r="105" spans="1:22" ht="141" customHeight="1" x14ac:dyDescent="0.2">
      <c r="A105" s="20">
        <v>89</v>
      </c>
      <c r="B105" s="21" t="s">
        <v>209</v>
      </c>
      <c r="C105" s="21"/>
      <c r="D105" s="21" t="s">
        <v>210</v>
      </c>
      <c r="E105" s="23" t="s">
        <v>22</v>
      </c>
      <c r="F105" s="20">
        <v>9</v>
      </c>
      <c r="G105" s="20" t="s">
        <v>23</v>
      </c>
      <c r="H105" s="24"/>
      <c r="I105" s="24"/>
      <c r="J105" s="28">
        <f>854622*1.19</f>
        <v>1017000.1799999999</v>
      </c>
      <c r="K105" s="26">
        <f t="shared" ref="K105" si="77">+J105*F105</f>
        <v>9153001.6199999992</v>
      </c>
      <c r="L105" s="27">
        <f>52416*1.19</f>
        <v>62375.039999999994</v>
      </c>
      <c r="M105" s="28">
        <f>+L105*F105</f>
        <v>561375.36</v>
      </c>
      <c r="N105" s="27">
        <f>132666.67*1.19</f>
        <v>157873.33730000001</v>
      </c>
      <c r="O105" s="28">
        <f t="shared" si="37"/>
        <v>1420860.0357000001</v>
      </c>
      <c r="P105" s="29">
        <f>AVERAGE(K105,M105,O105)</f>
        <v>3711745.6719</v>
      </c>
      <c r="Q105" s="28">
        <f>+MIN(K105,M105,O105)</f>
        <v>561375.36</v>
      </c>
      <c r="R105" s="24">
        <f t="shared" ref="R105" si="78">MEDIAN(K105,M105,O105)</f>
        <v>1420860.0357000001</v>
      </c>
      <c r="S105" s="24">
        <f>GEOMEAN(K105,M105,O105)</f>
        <v>1939944.9003176808</v>
      </c>
      <c r="T105" s="30"/>
      <c r="U105" s="28"/>
    </row>
    <row r="106" spans="1:22" x14ac:dyDescent="0.2">
      <c r="A106" s="284" t="s">
        <v>211</v>
      </c>
      <c r="B106" s="285"/>
      <c r="C106" s="285"/>
      <c r="D106" s="285"/>
      <c r="E106" s="285"/>
      <c r="F106" s="286"/>
      <c r="G106" s="6"/>
      <c r="H106" s="7"/>
      <c r="I106" s="7"/>
      <c r="J106" s="8">
        <f t="shared" ref="J106:S106" si="79">SUM(J107:J111)</f>
        <v>2463601.0699999998</v>
      </c>
      <c r="K106" s="8">
        <f t="shared" si="79"/>
        <v>4358399.99</v>
      </c>
      <c r="L106" s="8">
        <f t="shared" si="79"/>
        <v>523001.43</v>
      </c>
      <c r="M106" s="8">
        <f t="shared" si="79"/>
        <v>712501.79</v>
      </c>
      <c r="N106" s="8">
        <f t="shared" si="79"/>
        <v>370804</v>
      </c>
      <c r="O106" s="8">
        <f t="shared" si="79"/>
        <v>469177.34919999994</v>
      </c>
      <c r="P106" s="9">
        <f t="shared" si="79"/>
        <v>1970922.2997333333</v>
      </c>
      <c r="Q106" s="8">
        <f t="shared" si="79"/>
        <v>598593.02649999992</v>
      </c>
      <c r="R106" s="8">
        <f t="shared" si="79"/>
        <v>955773.88269999996</v>
      </c>
      <c r="S106" s="8">
        <f t="shared" si="79"/>
        <v>1237976.525944439</v>
      </c>
      <c r="U106" s="8">
        <f>SUM(U107:U111)</f>
        <v>0</v>
      </c>
    </row>
    <row r="107" spans="1:22" ht="141" customHeight="1" x14ac:dyDescent="0.2">
      <c r="A107" s="20">
        <v>90</v>
      </c>
      <c r="B107" s="21" t="s">
        <v>212</v>
      </c>
      <c r="C107" s="21"/>
      <c r="D107" s="21" t="s">
        <v>213</v>
      </c>
      <c r="E107" s="23" t="s">
        <v>107</v>
      </c>
      <c r="F107" s="20">
        <v>1</v>
      </c>
      <c r="G107" s="20" t="s">
        <v>23</v>
      </c>
      <c r="H107" s="24"/>
      <c r="I107" s="24"/>
      <c r="J107" s="58">
        <f>183782*1.19</f>
        <v>218700.58</v>
      </c>
      <c r="K107" s="26">
        <f t="shared" ref="K107:K111" si="80">+J107*F107</f>
        <v>218700.58</v>
      </c>
      <c r="L107" s="60">
        <f>76576*1.19</f>
        <v>91125.440000000002</v>
      </c>
      <c r="M107" s="28">
        <f t="shared" ref="M107:M111" si="81">+L107*F107</f>
        <v>91125.440000000002</v>
      </c>
      <c r="N107" s="60">
        <f>80266.67*1.19</f>
        <v>95517.337299999999</v>
      </c>
      <c r="O107" s="28">
        <f t="shared" si="37"/>
        <v>95517.337299999999</v>
      </c>
      <c r="P107" s="29">
        <f t="shared" ref="P107:P111" si="82">AVERAGE(K107,M107,O107)</f>
        <v>135114.45243333335</v>
      </c>
      <c r="Q107" s="28">
        <f t="shared" ref="Q107:Q111" si="83">+MIN(K107,M107,O107)</f>
        <v>91125.440000000002</v>
      </c>
      <c r="R107" s="24">
        <f t="shared" ref="R107:R111" si="84">MEDIAN(K107,M107,O107)</f>
        <v>95517.337299999999</v>
      </c>
      <c r="S107" s="24">
        <f t="shared" ref="S107:S111" si="85">GEOMEAN(K107,M107,O107)</f>
        <v>123934.03612506615</v>
      </c>
      <c r="U107" s="28"/>
    </row>
    <row r="108" spans="1:22" s="76" customFormat="1" ht="141" customHeight="1" x14ac:dyDescent="0.2">
      <c r="A108" s="68">
        <v>91</v>
      </c>
      <c r="B108" s="69" t="s">
        <v>214</v>
      </c>
      <c r="C108" s="69"/>
      <c r="D108" s="69" t="s">
        <v>215</v>
      </c>
      <c r="E108" s="70" t="s">
        <v>22</v>
      </c>
      <c r="F108" s="68">
        <v>5</v>
      </c>
      <c r="G108" s="20" t="s">
        <v>23</v>
      </c>
      <c r="H108" s="24"/>
      <c r="I108" s="24"/>
      <c r="J108" s="71">
        <f>398067*1.19</f>
        <v>473699.73</v>
      </c>
      <c r="K108" s="72">
        <f t="shared" si="80"/>
        <v>2368498.65</v>
      </c>
      <c r="L108" s="73">
        <f>39811*1.19</f>
        <v>47375.09</v>
      </c>
      <c r="M108" s="71">
        <f t="shared" si="81"/>
        <v>236875.44999999998</v>
      </c>
      <c r="N108" s="73">
        <f>20666.67*1.19</f>
        <v>24593.337299999996</v>
      </c>
      <c r="O108" s="71">
        <f t="shared" si="37"/>
        <v>122966.68649999998</v>
      </c>
      <c r="P108" s="29">
        <f t="shared" si="82"/>
        <v>909446.92883333331</v>
      </c>
      <c r="Q108" s="71">
        <f t="shared" si="83"/>
        <v>122966.68649999998</v>
      </c>
      <c r="R108" s="74">
        <f t="shared" si="84"/>
        <v>236875.44999999998</v>
      </c>
      <c r="S108" s="74">
        <f t="shared" si="85"/>
        <v>410135.0524694107</v>
      </c>
      <c r="T108" s="75"/>
      <c r="U108" s="71"/>
    </row>
    <row r="109" spans="1:22" ht="141" customHeight="1" x14ac:dyDescent="0.2">
      <c r="A109" s="20">
        <v>92</v>
      </c>
      <c r="B109" s="21" t="s">
        <v>216</v>
      </c>
      <c r="C109" s="21"/>
      <c r="D109" s="21" t="s">
        <v>217</v>
      </c>
      <c r="E109" s="23" t="s">
        <v>22</v>
      </c>
      <c r="F109" s="20">
        <v>1</v>
      </c>
      <c r="G109" s="20" t="s">
        <v>23</v>
      </c>
      <c r="H109" s="24"/>
      <c r="I109" s="24"/>
      <c r="J109" s="58">
        <f>882353*1.19</f>
        <v>1050000.07</v>
      </c>
      <c r="K109" s="26">
        <f t="shared" si="80"/>
        <v>1050000.07</v>
      </c>
      <c r="L109" s="60">
        <f>86660*1.19</f>
        <v>103125.4</v>
      </c>
      <c r="M109" s="28">
        <f t="shared" si="81"/>
        <v>103125.4</v>
      </c>
      <c r="N109" s="60">
        <f>163333.33*1.19</f>
        <v>194366.66269999999</v>
      </c>
      <c r="O109" s="28">
        <f t="shared" si="37"/>
        <v>194366.66269999999</v>
      </c>
      <c r="P109" s="29">
        <f t="shared" si="82"/>
        <v>449164.04423333332</v>
      </c>
      <c r="Q109" s="29">
        <f t="shared" si="83"/>
        <v>103125.4</v>
      </c>
      <c r="R109" s="24">
        <f t="shared" si="84"/>
        <v>194366.66269999999</v>
      </c>
      <c r="S109" s="24">
        <f t="shared" si="85"/>
        <v>276095.2387514924</v>
      </c>
      <c r="U109" s="28"/>
    </row>
    <row r="110" spans="1:22" ht="141" customHeight="1" x14ac:dyDescent="0.2">
      <c r="A110" s="20">
        <v>93</v>
      </c>
      <c r="B110" s="21" t="s">
        <v>218</v>
      </c>
      <c r="C110" s="21"/>
      <c r="D110" s="21" t="s">
        <v>219</v>
      </c>
      <c r="E110" s="23" t="s">
        <v>22</v>
      </c>
      <c r="F110" s="20">
        <v>1</v>
      </c>
      <c r="G110" s="20" t="s">
        <v>23</v>
      </c>
      <c r="H110" s="24"/>
      <c r="I110" s="24"/>
      <c r="J110" s="58">
        <f>424790*1.19</f>
        <v>505500.1</v>
      </c>
      <c r="K110" s="26">
        <f t="shared" si="80"/>
        <v>505500.1</v>
      </c>
      <c r="L110" s="60">
        <f>201576*1.19</f>
        <v>239875.44</v>
      </c>
      <c r="M110" s="28">
        <f t="shared" si="81"/>
        <v>239875.44</v>
      </c>
      <c r="N110" s="60"/>
      <c r="O110" s="28"/>
      <c r="P110" s="29">
        <f t="shared" si="82"/>
        <v>372687.77</v>
      </c>
      <c r="Q110" s="28">
        <f t="shared" si="83"/>
        <v>239875.44</v>
      </c>
      <c r="R110" s="77">
        <f t="shared" si="84"/>
        <v>372687.77</v>
      </c>
      <c r="S110" s="24">
        <f t="shared" si="85"/>
        <v>348219.84278260765</v>
      </c>
      <c r="U110" s="28"/>
    </row>
    <row r="111" spans="1:22" ht="141" customHeight="1" x14ac:dyDescent="0.2">
      <c r="A111" s="20">
        <v>94</v>
      </c>
      <c r="B111" s="21" t="s">
        <v>220</v>
      </c>
      <c r="C111" s="21"/>
      <c r="D111" s="78" t="s">
        <v>221</v>
      </c>
      <c r="E111" s="23" t="s">
        <v>22</v>
      </c>
      <c r="F111" s="20">
        <v>1</v>
      </c>
      <c r="G111" s="20" t="s">
        <v>23</v>
      </c>
      <c r="H111" s="24"/>
      <c r="I111" s="24"/>
      <c r="J111" s="58">
        <f>181261*1.19</f>
        <v>215700.59</v>
      </c>
      <c r="K111" s="26">
        <f t="shared" si="80"/>
        <v>215700.59</v>
      </c>
      <c r="L111" s="60">
        <f>34874*1.19</f>
        <v>41500.06</v>
      </c>
      <c r="M111" s="28">
        <f t="shared" si="81"/>
        <v>41500.06</v>
      </c>
      <c r="N111" s="60">
        <f>47333.33*1.19</f>
        <v>56326.662700000001</v>
      </c>
      <c r="O111" s="28">
        <f t="shared" si="37"/>
        <v>56326.662700000001</v>
      </c>
      <c r="P111" s="29">
        <f t="shared" si="82"/>
        <v>104509.10423333333</v>
      </c>
      <c r="Q111" s="28">
        <f t="shared" si="83"/>
        <v>41500.06</v>
      </c>
      <c r="R111" s="24">
        <f t="shared" si="84"/>
        <v>56326.662700000001</v>
      </c>
      <c r="S111" s="24">
        <f t="shared" si="85"/>
        <v>79592.355815862102</v>
      </c>
      <c r="U111" s="28"/>
    </row>
    <row r="112" spans="1:22" ht="141" customHeight="1" x14ac:dyDescent="0.2">
      <c r="A112" s="79"/>
      <c r="B112" s="79"/>
      <c r="C112" s="79"/>
      <c r="D112" s="79"/>
      <c r="E112" s="79"/>
      <c r="F112" s="79"/>
      <c r="G112" s="79"/>
      <c r="H112" s="80"/>
      <c r="I112" s="80"/>
      <c r="J112" s="81" t="e">
        <f>+J3+J5+J10+#REF!+J16+J61+J64+J66+J71+J73+J78+J80+J82+J86+J99+J102+J104+J106</f>
        <v>#REF!</v>
      </c>
      <c r="K112" s="81" t="e">
        <f>+K3+K5+K10+#REF!+K16+K61+K64+K66+K71+K73+K78+K80+K82+K86+K99+K102+K104+K106</f>
        <v>#REF!</v>
      </c>
      <c r="L112" s="81" t="e">
        <f>+L3+L5+L10+#REF!+L16+L61+L64+L66+L71+L73+L78+L80+L82+L86+L99+L102+L104+L106</f>
        <v>#REF!</v>
      </c>
      <c r="M112" s="81" t="e">
        <f>+M3+M5+M10+#REF!+M16+M61+M64+M66+M71+M73+M78+M80+M82+M86+M99+M102+M104+M106</f>
        <v>#REF!</v>
      </c>
      <c r="N112" s="81" t="e">
        <f>+N3+N5+N10+#REF!+N16+N61+N64+N66+N71+N73+N78+N80+N82+N86+N99+N102+N104+N106</f>
        <v>#REF!</v>
      </c>
      <c r="O112" s="81" t="e">
        <f>+O3+O5+O10+#REF!+O16+O61+O64+O66+O71+O73+O78+O80+O82+O86+O99+O102+O104+O106</f>
        <v>#REF!</v>
      </c>
      <c r="P112" s="81" t="e">
        <f>+P3+P5+P10+#REF!+P16+P61+P64+P66+P71+P73+P78+P80+P82+P86+P99+P102+P104+P106</f>
        <v>#REF!</v>
      </c>
      <c r="Q112" s="81" t="e">
        <f>+Q3+Q5+Q10+#REF!+Q16+Q61+Q64+Q66+Q71+Q73+Q78+Q80+Q82+Q86+Q99+Q102+Q104+Q106</f>
        <v>#REF!</v>
      </c>
      <c r="R112" s="81" t="e">
        <f>+R3+R5+R10+#REF!+R16+R61+R64+R66+R71+R73+R78+R80+R82+R86+R99+R102+R104+R106</f>
        <v>#REF!</v>
      </c>
      <c r="S112" s="81" t="e">
        <f>+S3+S5+S10+#REF!+S16+S61+S64+S66+S71+S73+S78+S80+S82+S86+S99+S102+S104+S106</f>
        <v>#REF!</v>
      </c>
      <c r="T112" s="81" t="e">
        <f>+T3+T5+T10+#REF!+T16+T61+T64+T66+T71+T73+T78+T80+T82+T86+T99+T102+T104+T106</f>
        <v>#REF!</v>
      </c>
      <c r="U112" s="81" t="e">
        <f>+U3+U5+U10+#REF!+U16+U61+U64+U66+U71+U73+U78+U80+U82+U86+U99+U102+U104+U106</f>
        <v>#REF!</v>
      </c>
      <c r="V112" s="82" t="e">
        <f>+V3+V5+V10+#REF!+V16+V61+V64+V66+V71+V73+V78+V80+V82+V86+V99+V102+V104+#REF!+V106+#REF!+#REF!</f>
        <v>#REF!</v>
      </c>
    </row>
    <row r="113" ht="55.5" customHeight="1" x14ac:dyDescent="0.2"/>
    <row r="114" ht="55.5" customHeight="1" x14ac:dyDescent="0.2"/>
    <row r="115" ht="55.5" customHeight="1" x14ac:dyDescent="0.2"/>
    <row r="116" ht="55.5" customHeight="1" x14ac:dyDescent="0.2"/>
    <row r="117" ht="55.5" customHeight="1" x14ac:dyDescent="0.2"/>
    <row r="118" ht="55.5" customHeight="1" x14ac:dyDescent="0.2"/>
    <row r="119" ht="55.5" customHeight="1" x14ac:dyDescent="0.2"/>
    <row r="120" ht="55.5" customHeight="1" x14ac:dyDescent="0.2"/>
    <row r="121" ht="55.5" customHeight="1" x14ac:dyDescent="0.2"/>
    <row r="122" ht="55.5" customHeight="1" x14ac:dyDescent="0.2"/>
    <row r="123" ht="55.5" customHeight="1" x14ac:dyDescent="0.2"/>
    <row r="124" ht="55.5" customHeight="1" x14ac:dyDescent="0.2"/>
    <row r="125" ht="55.5" customHeight="1" x14ac:dyDescent="0.2"/>
  </sheetData>
  <autoFilter ref="A2:V112"/>
  <mergeCells count="33">
    <mergeCell ref="F1:F2"/>
    <mergeCell ref="A71:F71"/>
    <mergeCell ref="P1:P2"/>
    <mergeCell ref="A10:F10"/>
    <mergeCell ref="A16:F16"/>
    <mergeCell ref="A61:F61"/>
    <mergeCell ref="A64:F64"/>
    <mergeCell ref="A66:F66"/>
    <mergeCell ref="Q1:Q2"/>
    <mergeCell ref="R1:R2"/>
    <mergeCell ref="U1:U2"/>
    <mergeCell ref="A3:F3"/>
    <mergeCell ref="A5:F5"/>
    <mergeCell ref="G1:G2"/>
    <mergeCell ref="H1:H2"/>
    <mergeCell ref="I1:I2"/>
    <mergeCell ref="J1:K1"/>
    <mergeCell ref="L1:M1"/>
    <mergeCell ref="N1:O1"/>
    <mergeCell ref="A1:A2"/>
    <mergeCell ref="B1:B2"/>
    <mergeCell ref="C1:C2"/>
    <mergeCell ref="D1:D2"/>
    <mergeCell ref="E1:E2"/>
    <mergeCell ref="A102:F102"/>
    <mergeCell ref="A104:F104"/>
    <mergeCell ref="A106:F106"/>
    <mergeCell ref="A73:F73"/>
    <mergeCell ref="A78:F78"/>
    <mergeCell ref="A80:F80"/>
    <mergeCell ref="A82:F82"/>
    <mergeCell ref="A86:F86"/>
    <mergeCell ref="A99:F99"/>
  </mergeCells>
  <pageMargins left="0.7" right="0.7" top="0.75" bottom="0.75" header="0.3" footer="0.3"/>
  <pageSetup scale="37" orientation="portrait" r:id="rId1"/>
  <colBreaks count="1" manualBreakCount="1">
    <brk id="12" max="114" man="1"/>
  </colBreaks>
  <drawing r:id="rId2"/>
  <legacyDrawing r:id="rId3"/>
  <oleObjects>
    <mc:AlternateContent xmlns:mc="http://schemas.openxmlformats.org/markup-compatibility/2006">
      <mc:Choice Requires="x14">
        <oleObject progId="PBrush" shapeId="1025" r:id="rId4">
          <objectPr defaultSize="0" autoPict="0" r:id="rId5">
            <anchor moveWithCells="1" sizeWithCells="1">
              <from>
                <xdr:col>2</xdr:col>
                <xdr:colOff>571500</xdr:colOff>
                <xdr:row>20</xdr:row>
                <xdr:rowOff>114300</xdr:rowOff>
              </from>
              <to>
                <xdr:col>2</xdr:col>
                <xdr:colOff>2019300</xdr:colOff>
                <xdr:row>20</xdr:row>
                <xdr:rowOff>1590675</xdr:rowOff>
              </to>
            </anchor>
          </objectPr>
        </oleObject>
      </mc:Choice>
      <mc:Fallback>
        <oleObject progId="PBrush" shapeId="1025" r:id="rId4"/>
      </mc:Fallback>
    </mc:AlternateContent>
    <mc:AlternateContent xmlns:mc="http://schemas.openxmlformats.org/markup-compatibility/2006">
      <mc:Choice Requires="x14">
        <oleObject progId="PBrush" shapeId="1026" r:id="rId6">
          <objectPr defaultSize="0" autoPict="0" r:id="rId7">
            <anchor moveWithCells="1" sizeWithCells="1">
              <from>
                <xdr:col>2</xdr:col>
                <xdr:colOff>609600</xdr:colOff>
                <xdr:row>53</xdr:row>
                <xdr:rowOff>180975</xdr:rowOff>
              </from>
              <to>
                <xdr:col>2</xdr:col>
                <xdr:colOff>2009775</xdr:colOff>
                <xdr:row>53</xdr:row>
                <xdr:rowOff>1447800</xdr:rowOff>
              </to>
            </anchor>
          </objectPr>
        </oleObject>
      </mc:Choice>
      <mc:Fallback>
        <oleObject progId="PBrush" shapeId="1026" r:id="rId6"/>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59999389629810485"/>
  </sheetPr>
  <dimension ref="A1:AA1048576"/>
  <sheetViews>
    <sheetView view="pageBreakPreview" zoomScaleNormal="124" zoomScaleSheetLayoutView="100" workbookViewId="0">
      <pane xSplit="5" ySplit="3" topLeftCell="F24" activePane="bottomRight" state="frozen"/>
      <selection pane="topRight" activeCell="E1" sqref="E1"/>
      <selection pane="bottomLeft" activeCell="A4" sqref="A4"/>
      <selection pane="bottomRight" activeCell="Y28" sqref="Y28"/>
    </sheetView>
  </sheetViews>
  <sheetFormatPr baseColWidth="10" defaultRowHeight="27.75" customHeight="1" x14ac:dyDescent="0.15"/>
  <cols>
    <col min="1" max="1" width="5.85546875" style="201" bestFit="1" customWidth="1"/>
    <col min="2" max="2" width="39.42578125" style="139" customWidth="1"/>
    <col min="3" max="3" width="57.28515625" style="139" hidden="1" customWidth="1"/>
    <col min="4" max="4" width="9.42578125" style="139" bestFit="1" customWidth="1"/>
    <col min="5" max="5" width="5.28515625" style="211" bestFit="1" customWidth="1"/>
    <col min="6" max="6" width="5.7109375" style="139" bestFit="1" customWidth="1"/>
    <col min="7" max="7" width="14.85546875" style="140" bestFit="1" customWidth="1"/>
    <col min="8" max="8" width="15.42578125" style="140" bestFit="1" customWidth="1"/>
    <col min="9" max="9" width="16.42578125" style="141" bestFit="1" customWidth="1"/>
    <col min="10" max="12" width="14.85546875" style="141" bestFit="1" customWidth="1"/>
    <col min="13" max="14" width="14" style="141" bestFit="1" customWidth="1"/>
    <col min="15" max="15" width="16.42578125" style="141" bestFit="1" customWidth="1"/>
    <col min="16" max="16" width="14" style="141" bestFit="1" customWidth="1"/>
    <col min="17" max="18" width="13.140625" style="141" bestFit="1" customWidth="1"/>
    <col min="19" max="20" width="10.42578125" style="141" bestFit="1" customWidth="1"/>
    <col min="21" max="21" width="14.85546875" style="141" bestFit="1" customWidth="1"/>
    <col min="22" max="22" width="15.7109375" style="141" customWidth="1"/>
    <col min="23" max="24" width="15.7109375" style="140" customWidth="1"/>
    <col min="25" max="25" width="15" style="142" bestFit="1" customWidth="1"/>
    <col min="26" max="26" width="15.7109375" style="141" customWidth="1"/>
    <col min="27" max="16384" width="11.42578125" style="137"/>
  </cols>
  <sheetData>
    <row r="1" spans="1:26" ht="27.75" customHeight="1" x14ac:dyDescent="0.15">
      <c r="A1" s="303" t="s">
        <v>0</v>
      </c>
      <c r="B1" s="302" t="s">
        <v>1</v>
      </c>
      <c r="C1" s="302" t="s">
        <v>3</v>
      </c>
      <c r="D1" s="302" t="s">
        <v>4</v>
      </c>
      <c r="E1" s="303" t="s">
        <v>5</v>
      </c>
      <c r="F1" s="302" t="s">
        <v>6</v>
      </c>
      <c r="G1" s="302" t="s">
        <v>7</v>
      </c>
      <c r="H1" s="302" t="s">
        <v>8</v>
      </c>
      <c r="I1" s="302" t="s">
        <v>9</v>
      </c>
      <c r="J1" s="302"/>
      <c r="K1" s="298" t="s">
        <v>10</v>
      </c>
      <c r="L1" s="298"/>
      <c r="M1" s="298" t="s">
        <v>11</v>
      </c>
      <c r="N1" s="298"/>
      <c r="O1" s="302" t="s">
        <v>223</v>
      </c>
      <c r="P1" s="302"/>
      <c r="Q1" s="298" t="s">
        <v>224</v>
      </c>
      <c r="R1" s="298"/>
      <c r="S1" s="298" t="s">
        <v>225</v>
      </c>
      <c r="T1" s="298"/>
      <c r="U1" s="299" t="s">
        <v>12</v>
      </c>
      <c r="V1" s="299" t="s">
        <v>13</v>
      </c>
      <c r="W1" s="298" t="s">
        <v>14</v>
      </c>
      <c r="X1" s="300" t="s">
        <v>15</v>
      </c>
      <c r="Y1" s="296" t="s">
        <v>313</v>
      </c>
      <c r="Z1" s="297" t="s">
        <v>16</v>
      </c>
    </row>
    <row r="2" spans="1:26" ht="27.75" customHeight="1" x14ac:dyDescent="0.15">
      <c r="A2" s="303"/>
      <c r="B2" s="302"/>
      <c r="C2" s="302"/>
      <c r="D2" s="302"/>
      <c r="E2" s="303"/>
      <c r="F2" s="302"/>
      <c r="G2" s="302"/>
      <c r="H2" s="302"/>
      <c r="I2" s="216" t="s">
        <v>17</v>
      </c>
      <c r="J2" s="216" t="s">
        <v>18</v>
      </c>
      <c r="K2" s="217" t="s">
        <v>17</v>
      </c>
      <c r="L2" s="217" t="s">
        <v>18</v>
      </c>
      <c r="M2" s="217" t="s">
        <v>17</v>
      </c>
      <c r="N2" s="217" t="s">
        <v>18</v>
      </c>
      <c r="O2" s="216" t="s">
        <v>17</v>
      </c>
      <c r="P2" s="216" t="s">
        <v>18</v>
      </c>
      <c r="Q2" s="217" t="s">
        <v>17</v>
      </c>
      <c r="R2" s="217" t="s">
        <v>18</v>
      </c>
      <c r="S2" s="217" t="s">
        <v>17</v>
      </c>
      <c r="T2" s="217" t="s">
        <v>18</v>
      </c>
      <c r="U2" s="299"/>
      <c r="V2" s="299"/>
      <c r="W2" s="298"/>
      <c r="X2" s="301"/>
      <c r="Y2" s="296"/>
      <c r="Z2" s="297"/>
    </row>
    <row r="3" spans="1:26" ht="27.75" customHeight="1" x14ac:dyDescent="0.15">
      <c r="A3" s="293" t="s">
        <v>19</v>
      </c>
      <c r="B3" s="294"/>
      <c r="C3" s="294"/>
      <c r="D3" s="294"/>
      <c r="E3" s="295"/>
      <c r="F3" s="218"/>
      <c r="G3" s="143">
        <f t="shared" ref="G3:X3" si="0">SUM(G4:G4)</f>
        <v>5000000</v>
      </c>
      <c r="H3" s="143">
        <f t="shared" si="0"/>
        <v>5000000</v>
      </c>
      <c r="I3" s="143">
        <f t="shared" si="0"/>
        <v>953700.51</v>
      </c>
      <c r="J3" s="143">
        <f t="shared" si="0"/>
        <v>953700.51</v>
      </c>
      <c r="K3" s="143">
        <f t="shared" si="0"/>
        <v>0</v>
      </c>
      <c r="L3" s="143">
        <f t="shared" si="0"/>
        <v>0</v>
      </c>
      <c r="M3" s="143">
        <f t="shared" si="0"/>
        <v>0</v>
      </c>
      <c r="N3" s="143">
        <f t="shared" si="0"/>
        <v>0</v>
      </c>
      <c r="O3" s="143">
        <f t="shared" si="0"/>
        <v>0</v>
      </c>
      <c r="P3" s="143">
        <f t="shared" si="0"/>
        <v>0</v>
      </c>
      <c r="Q3" s="143">
        <f t="shared" si="0"/>
        <v>3360000</v>
      </c>
      <c r="R3" s="143">
        <f t="shared" si="0"/>
        <v>3360000</v>
      </c>
      <c r="S3" s="143">
        <f t="shared" si="0"/>
        <v>0</v>
      </c>
      <c r="T3" s="143">
        <f t="shared" si="0"/>
        <v>0</v>
      </c>
      <c r="U3" s="143">
        <f>+U4</f>
        <v>953700.51</v>
      </c>
      <c r="V3" s="143">
        <f>SUM(V4:V4)</f>
        <v>953700.51</v>
      </c>
      <c r="W3" s="143">
        <f>SUM(W4:W4)</f>
        <v>953700.51</v>
      </c>
      <c r="X3" s="144">
        <f t="shared" si="0"/>
        <v>953700.51</v>
      </c>
      <c r="Y3" s="145"/>
      <c r="Z3" s="146">
        <f>SUM(Z4:Z4)</f>
        <v>3360000</v>
      </c>
    </row>
    <row r="4" spans="1:26" s="138" customFormat="1" ht="24.75" x14ac:dyDescent="0.15">
      <c r="A4" s="208">
        <v>1</v>
      </c>
      <c r="B4" s="148" t="s">
        <v>222</v>
      </c>
      <c r="C4" s="149" t="s">
        <v>21</v>
      </c>
      <c r="D4" s="149" t="s">
        <v>22</v>
      </c>
      <c r="E4" s="226">
        <v>1</v>
      </c>
      <c r="F4" s="147" t="s">
        <v>23</v>
      </c>
      <c r="G4" s="225">
        <v>5000000</v>
      </c>
      <c r="H4" s="147">
        <f>E4*G4</f>
        <v>5000000</v>
      </c>
      <c r="I4" s="150">
        <f>801429*1.19</f>
        <v>953700.51</v>
      </c>
      <c r="J4" s="151">
        <f>+I4*E4</f>
        <v>953700.51</v>
      </c>
      <c r="K4" s="152"/>
      <c r="L4" s="153"/>
      <c r="M4" s="152"/>
      <c r="N4" s="153"/>
      <c r="O4" s="153"/>
      <c r="P4" s="154"/>
      <c r="Q4" s="155">
        <v>3360000</v>
      </c>
      <c r="R4" s="156">
        <f>Q4*E4</f>
        <v>3360000</v>
      </c>
      <c r="S4" s="152"/>
      <c r="T4" s="153"/>
      <c r="U4" s="156">
        <f>AVERAGE(J4,L4,N4)</f>
        <v>953700.51</v>
      </c>
      <c r="V4" s="156">
        <f>+MIN(J4,L4,N4)</f>
        <v>953700.51</v>
      </c>
      <c r="W4" s="147">
        <f>MEDIAN(J4,L4,N4)</f>
        <v>953700.51</v>
      </c>
      <c r="X4" s="157">
        <f>GEOMEAN(J4,L4,N4)</f>
        <v>953700.51</v>
      </c>
      <c r="Y4" s="158">
        <f>R4</f>
        <v>3360000</v>
      </c>
      <c r="Z4" s="159">
        <f>R4</f>
        <v>3360000</v>
      </c>
    </row>
    <row r="5" spans="1:26" ht="27.75" customHeight="1" x14ac:dyDescent="0.15">
      <c r="A5" s="293" t="s">
        <v>24</v>
      </c>
      <c r="B5" s="294"/>
      <c r="C5" s="294"/>
      <c r="D5" s="294"/>
      <c r="E5" s="295"/>
      <c r="F5" s="218"/>
      <c r="G5" s="143">
        <f t="shared" ref="G5:Z5" si="1">SUM(G6:G9)</f>
        <v>11096644</v>
      </c>
      <c r="H5" s="143">
        <f>SUM(H6:H9)</f>
        <v>11096644</v>
      </c>
      <c r="I5" s="143">
        <f t="shared" si="1"/>
        <v>11185470</v>
      </c>
      <c r="J5" s="143">
        <f t="shared" si="1"/>
        <v>11185470</v>
      </c>
      <c r="K5" s="143">
        <f t="shared" si="1"/>
        <v>4129750</v>
      </c>
      <c r="L5" s="143">
        <f t="shared" si="1"/>
        <v>4129750</v>
      </c>
      <c r="M5" s="143">
        <f t="shared" si="1"/>
        <v>1271396</v>
      </c>
      <c r="N5" s="143">
        <f t="shared" si="1"/>
        <v>1271396</v>
      </c>
      <c r="O5" s="143"/>
      <c r="P5" s="143"/>
      <c r="Q5" s="143"/>
      <c r="R5" s="143"/>
      <c r="S5" s="143"/>
      <c r="T5" s="143"/>
      <c r="U5" s="143">
        <f t="shared" si="1"/>
        <v>7133172</v>
      </c>
      <c r="V5" s="143">
        <f t="shared" si="1"/>
        <v>2740000</v>
      </c>
      <c r="W5" s="143">
        <f t="shared" si="1"/>
        <v>6084296.0000000009</v>
      </c>
      <c r="X5" s="144">
        <f t="shared" si="1"/>
        <v>5489927.0655531455</v>
      </c>
      <c r="Y5" s="143">
        <f t="shared" si="1"/>
        <v>7520800</v>
      </c>
      <c r="Z5" s="146">
        <f t="shared" si="1"/>
        <v>10335925</v>
      </c>
    </row>
    <row r="6" spans="1:26" ht="27.75" customHeight="1" x14ac:dyDescent="0.15">
      <c r="A6" s="208">
        <v>2</v>
      </c>
      <c r="B6" s="161" t="s">
        <v>25</v>
      </c>
      <c r="C6" s="161" t="s">
        <v>26</v>
      </c>
      <c r="D6" s="162" t="s">
        <v>22</v>
      </c>
      <c r="E6" s="226">
        <v>1</v>
      </c>
      <c r="F6" s="160" t="s">
        <v>23</v>
      </c>
      <c r="G6" s="225">
        <v>2381373</v>
      </c>
      <c r="H6" s="163">
        <f t="shared" ref="H6:H15" si="2">E6*G6</f>
        <v>2381373</v>
      </c>
      <c r="I6" s="164">
        <v>159000</v>
      </c>
      <c r="J6" s="165">
        <f t="shared" ref="J6:J63" si="3">+I6*E6</f>
        <v>159000</v>
      </c>
      <c r="K6" s="166">
        <v>1548750</v>
      </c>
      <c r="L6" s="167">
        <f t="shared" ref="L6:L9" si="4">+K6*E6</f>
        <v>1548750</v>
      </c>
      <c r="M6" s="152"/>
      <c r="N6" s="153"/>
      <c r="O6" s="153"/>
      <c r="P6" s="154"/>
      <c r="Q6" s="166">
        <v>1400000</v>
      </c>
      <c r="R6" s="156">
        <f>Q6*E6</f>
        <v>1400000</v>
      </c>
      <c r="S6" s="152"/>
      <c r="T6" s="153"/>
      <c r="U6" s="168">
        <f>AVERAGE(J6,L6,N6)</f>
        <v>853875</v>
      </c>
      <c r="V6" s="167">
        <f>+MIN(J6,L6,N6)</f>
        <v>159000</v>
      </c>
      <c r="W6" s="163">
        <f>MEDIAN(J6,L6,N6)</f>
        <v>853875</v>
      </c>
      <c r="X6" s="169">
        <f>GEOMEAN(J6,L6,N6)</f>
        <v>496237.09051218652</v>
      </c>
      <c r="Y6" s="170"/>
      <c r="Z6" s="171">
        <f>U6</f>
        <v>853875</v>
      </c>
    </row>
    <row r="7" spans="1:26" ht="27.75" customHeight="1" x14ac:dyDescent="0.15">
      <c r="A7" s="208">
        <v>3</v>
      </c>
      <c r="B7" s="161" t="s">
        <v>283</v>
      </c>
      <c r="C7" s="161" t="s">
        <v>28</v>
      </c>
      <c r="D7" s="162" t="s">
        <v>22</v>
      </c>
      <c r="E7" s="226">
        <v>1</v>
      </c>
      <c r="F7" s="160" t="s">
        <v>23</v>
      </c>
      <c r="G7" s="225">
        <v>2188121</v>
      </c>
      <c r="H7" s="163">
        <f t="shared" si="2"/>
        <v>2188121</v>
      </c>
      <c r="I7" s="150">
        <v>5956800.0000000009</v>
      </c>
      <c r="J7" s="165">
        <f t="shared" si="3"/>
        <v>5956800.0000000009</v>
      </c>
      <c r="K7" s="166">
        <v>1961250.0000000002</v>
      </c>
      <c r="L7" s="167">
        <f t="shared" si="4"/>
        <v>1961250.0000000002</v>
      </c>
      <c r="M7" s="152"/>
      <c r="N7" s="153"/>
      <c r="O7" s="153"/>
      <c r="P7" s="154"/>
      <c r="Q7" s="166">
        <v>1780000</v>
      </c>
      <c r="R7" s="156">
        <f>Q7*E7</f>
        <v>1780000</v>
      </c>
      <c r="S7" s="152"/>
      <c r="T7" s="153"/>
      <c r="U7" s="167">
        <f>AVERAGE(J7,L7,N7)</f>
        <v>3959025.0000000005</v>
      </c>
      <c r="V7" s="168">
        <f>+MIN(J7,L7,N7)</f>
        <v>1961250.0000000002</v>
      </c>
      <c r="W7" s="163">
        <f>MEDIAN(J7,L7,N7)</f>
        <v>3959025.0000000009</v>
      </c>
      <c r="X7" s="169">
        <f>GEOMEAN(J7,L7,N7)</f>
        <v>3418007.3142110161</v>
      </c>
      <c r="Y7" s="170"/>
      <c r="Z7" s="171">
        <f>V7</f>
        <v>1961250.0000000002</v>
      </c>
    </row>
    <row r="8" spans="1:26" ht="27.75" customHeight="1" x14ac:dyDescent="0.15">
      <c r="A8" s="208">
        <v>4</v>
      </c>
      <c r="B8" s="161" t="s">
        <v>29</v>
      </c>
      <c r="C8" s="161" t="s">
        <v>30</v>
      </c>
      <c r="D8" s="162" t="s">
        <v>22</v>
      </c>
      <c r="E8" s="226">
        <v>1</v>
      </c>
      <c r="F8" s="160" t="s">
        <v>31</v>
      </c>
      <c r="G8" s="225">
        <v>6307000</v>
      </c>
      <c r="H8" s="163">
        <f t="shared" si="2"/>
        <v>6307000</v>
      </c>
      <c r="I8" s="167">
        <v>4931700</v>
      </c>
      <c r="J8" s="165">
        <f t="shared" si="3"/>
        <v>4931700</v>
      </c>
      <c r="K8" s="166">
        <v>562375</v>
      </c>
      <c r="L8" s="167">
        <f t="shared" si="4"/>
        <v>562375</v>
      </c>
      <c r="M8" s="166">
        <v>1199202.6666666667</v>
      </c>
      <c r="N8" s="167">
        <f t="shared" ref="N8:N9" si="5">+M8*E8</f>
        <v>1199202.6666666667</v>
      </c>
      <c r="O8" s="153"/>
      <c r="P8" s="154"/>
      <c r="Q8" s="152"/>
      <c r="R8" s="153">
        <f>Q8*E8</f>
        <v>0</v>
      </c>
      <c r="S8" s="166">
        <v>7140000</v>
      </c>
      <c r="T8" s="167">
        <f>S8*E8</f>
        <v>7140000</v>
      </c>
      <c r="U8" s="167">
        <f>AVERAGE(J8,L8,N8)</f>
        <v>2231092.5555555555</v>
      </c>
      <c r="V8" s="167">
        <f>+MIN(J8,L8,N8)</f>
        <v>562375</v>
      </c>
      <c r="W8" s="163">
        <f>MEDIAN(J8,L8,N8)</f>
        <v>1199202.6666666667</v>
      </c>
      <c r="X8" s="169">
        <f>GEOMEAN(J8,L8,N8)</f>
        <v>1492697.300164876</v>
      </c>
      <c r="Y8" s="172">
        <f>T8</f>
        <v>7140000</v>
      </c>
      <c r="Z8" s="171">
        <f>Y8</f>
        <v>7140000</v>
      </c>
    </row>
    <row r="9" spans="1:26" ht="27.75" customHeight="1" x14ac:dyDescent="0.15">
      <c r="A9" s="208">
        <v>5</v>
      </c>
      <c r="B9" s="161" t="s">
        <v>32</v>
      </c>
      <c r="C9" s="161" t="s">
        <v>33</v>
      </c>
      <c r="D9" s="162" t="s">
        <v>22</v>
      </c>
      <c r="E9" s="226">
        <v>1</v>
      </c>
      <c r="F9" s="160" t="s">
        <v>31</v>
      </c>
      <c r="G9" s="225">
        <v>220150</v>
      </c>
      <c r="H9" s="163">
        <f t="shared" si="2"/>
        <v>220150</v>
      </c>
      <c r="I9" s="167">
        <v>137970</v>
      </c>
      <c r="J9" s="165">
        <f t="shared" si="3"/>
        <v>137970</v>
      </c>
      <c r="K9" s="166">
        <v>57375</v>
      </c>
      <c r="L9" s="167">
        <f t="shared" si="4"/>
        <v>57375</v>
      </c>
      <c r="M9" s="166">
        <v>72193.333333333328</v>
      </c>
      <c r="N9" s="167">
        <f t="shared" si="5"/>
        <v>72193.333333333328</v>
      </c>
      <c r="O9" s="167">
        <v>59500</v>
      </c>
      <c r="P9" s="165">
        <f>O9*E9</f>
        <v>59500</v>
      </c>
      <c r="Q9" s="152"/>
      <c r="R9" s="153">
        <f>Q9*E9</f>
        <v>0</v>
      </c>
      <c r="S9" s="166">
        <v>380800</v>
      </c>
      <c r="T9" s="167">
        <f>S9*E9</f>
        <v>380800</v>
      </c>
      <c r="U9" s="167">
        <f>AVERAGE(J9,L9,N9)</f>
        <v>89179.444444444438</v>
      </c>
      <c r="V9" s="167">
        <f>+MIN(J9,L9,N9)</f>
        <v>57375</v>
      </c>
      <c r="W9" s="163">
        <f>MEDIAN(J9,L9,N9)</f>
        <v>72193.333333333328</v>
      </c>
      <c r="X9" s="169">
        <f>GEOMEAN(J9,L9,N9)</f>
        <v>82985.360665065833</v>
      </c>
      <c r="Y9" s="173">
        <f>T9</f>
        <v>380800</v>
      </c>
      <c r="Z9" s="171">
        <f>Y9</f>
        <v>380800</v>
      </c>
    </row>
    <row r="10" spans="1:26" ht="27.75" customHeight="1" x14ac:dyDescent="0.15">
      <c r="A10" s="293" t="s">
        <v>34</v>
      </c>
      <c r="B10" s="294"/>
      <c r="C10" s="294"/>
      <c r="D10" s="294"/>
      <c r="E10" s="295"/>
      <c r="F10" s="218"/>
      <c r="G10" s="143">
        <f t="shared" ref="G10:Z10" si="6">SUM(G11:G15)</f>
        <v>11308506</v>
      </c>
      <c r="H10" s="143">
        <f t="shared" si="6"/>
        <v>11308506</v>
      </c>
      <c r="I10" s="143">
        <f t="shared" si="6"/>
        <v>15117650.000000002</v>
      </c>
      <c r="J10" s="143">
        <f t="shared" si="6"/>
        <v>15117650.000000002</v>
      </c>
      <c r="K10" s="143">
        <f t="shared" si="6"/>
        <v>8408775.25</v>
      </c>
      <c r="L10" s="143">
        <f t="shared" si="6"/>
        <v>8408775.25</v>
      </c>
      <c r="M10" s="143">
        <f t="shared" si="6"/>
        <v>6689228</v>
      </c>
      <c r="N10" s="143">
        <f t="shared" si="6"/>
        <v>6689228</v>
      </c>
      <c r="O10" s="143"/>
      <c r="P10" s="143"/>
      <c r="Q10" s="143"/>
      <c r="R10" s="143"/>
      <c r="S10" s="143"/>
      <c r="T10" s="143"/>
      <c r="U10" s="143">
        <f t="shared" si="6"/>
        <v>10595613.583333334</v>
      </c>
      <c r="V10" s="143">
        <f t="shared" si="6"/>
        <v>6871036.9166666679</v>
      </c>
      <c r="W10" s="143">
        <f t="shared" si="6"/>
        <v>9254616.5</v>
      </c>
      <c r="X10" s="144">
        <f t="shared" si="6"/>
        <v>9661812.0989929158</v>
      </c>
      <c r="Y10" s="143">
        <f t="shared" si="6"/>
        <v>3677100</v>
      </c>
      <c r="Z10" s="146">
        <f t="shared" si="6"/>
        <v>10227190.583333334</v>
      </c>
    </row>
    <row r="11" spans="1:26" ht="27.75" customHeight="1" x14ac:dyDescent="0.15">
      <c r="A11" s="208">
        <v>6</v>
      </c>
      <c r="B11" s="161" t="s">
        <v>35</v>
      </c>
      <c r="C11" s="161" t="s">
        <v>36</v>
      </c>
      <c r="D11" s="162" t="s">
        <v>22</v>
      </c>
      <c r="E11" s="226">
        <v>1</v>
      </c>
      <c r="F11" s="160" t="s">
        <v>23</v>
      </c>
      <c r="G11" s="225">
        <v>1158489</v>
      </c>
      <c r="H11" s="163">
        <f t="shared" si="2"/>
        <v>1158489</v>
      </c>
      <c r="I11" s="150">
        <v>2355000</v>
      </c>
      <c r="J11" s="165">
        <f t="shared" si="3"/>
        <v>2355000</v>
      </c>
      <c r="K11" s="166">
        <v>787375</v>
      </c>
      <c r="L11" s="167">
        <f>+K11*E11</f>
        <v>787375</v>
      </c>
      <c r="M11" s="152"/>
      <c r="N11" s="153"/>
      <c r="O11" s="153"/>
      <c r="P11" s="154"/>
      <c r="Q11" s="166">
        <v>879200</v>
      </c>
      <c r="R11" s="156">
        <f>Q11*E11</f>
        <v>879200</v>
      </c>
      <c r="S11" s="166">
        <v>981750</v>
      </c>
      <c r="T11" s="153"/>
      <c r="U11" s="168">
        <f>AVERAGE(J11,L11,N11)</f>
        <v>1571187.5</v>
      </c>
      <c r="V11" s="167">
        <f>+MIN(J11,L11,N11)</f>
        <v>787375</v>
      </c>
      <c r="W11" s="163">
        <f>MEDIAN(J11,L11,N11)</f>
        <v>1571187.5</v>
      </c>
      <c r="X11" s="169">
        <f>GEOMEAN(J11,L11,N11)</f>
        <v>1361715.1409160434</v>
      </c>
      <c r="Y11" s="170"/>
      <c r="Z11" s="171">
        <f>U11</f>
        <v>1571187.5</v>
      </c>
    </row>
    <row r="12" spans="1:26" s="138" customFormat="1" ht="27.75" customHeight="1" x14ac:dyDescent="0.15">
      <c r="A12" s="208">
        <v>7</v>
      </c>
      <c r="B12" s="148" t="s">
        <v>37</v>
      </c>
      <c r="C12" s="148" t="s">
        <v>38</v>
      </c>
      <c r="D12" s="149" t="s">
        <v>22</v>
      </c>
      <c r="E12" s="226">
        <v>1</v>
      </c>
      <c r="F12" s="147" t="s">
        <v>23</v>
      </c>
      <c r="G12" s="225">
        <v>2772017</v>
      </c>
      <c r="H12" s="163">
        <f t="shared" si="2"/>
        <v>2772017</v>
      </c>
      <c r="I12" s="150">
        <v>5861700.0000000009</v>
      </c>
      <c r="J12" s="151">
        <f>+I12*E12</f>
        <v>5861700.0000000009</v>
      </c>
      <c r="K12" s="155">
        <v>2567375</v>
      </c>
      <c r="L12" s="156">
        <f t="shared" ref="L12:L15" si="7">+K12*E12</f>
        <v>2567375</v>
      </c>
      <c r="M12" s="155">
        <v>1190793.3333333333</v>
      </c>
      <c r="N12" s="156">
        <f t="shared" ref="N12:N15" si="8">+M12*E12</f>
        <v>1190793.3333333333</v>
      </c>
      <c r="O12" s="156">
        <v>3677100</v>
      </c>
      <c r="P12" s="165">
        <f>O12*E12</f>
        <v>3677100</v>
      </c>
      <c r="Q12" s="152"/>
      <c r="R12" s="153"/>
      <c r="S12" s="155">
        <v>4522000</v>
      </c>
      <c r="T12" s="167">
        <f>S12*E12</f>
        <v>4522000</v>
      </c>
      <c r="U12" s="156">
        <f>AVERAGE(J12,L12,N12)</f>
        <v>3206622.777777778</v>
      </c>
      <c r="V12" s="156">
        <f>+MIN(J12,L12,N12)</f>
        <v>1190793.3333333333</v>
      </c>
      <c r="W12" s="147">
        <f>MEDIAN(J12,L12,N12)</f>
        <v>2567375</v>
      </c>
      <c r="X12" s="157">
        <f>GEOMEAN(J12,L12,N12)</f>
        <v>2616875.7138337898</v>
      </c>
      <c r="Y12" s="172">
        <f>P12</f>
        <v>3677100</v>
      </c>
      <c r="Z12" s="159">
        <f>O12</f>
        <v>3677100</v>
      </c>
    </row>
    <row r="13" spans="1:26" s="138" customFormat="1" ht="27.75" customHeight="1" x14ac:dyDescent="0.15">
      <c r="A13" s="208">
        <v>8</v>
      </c>
      <c r="B13" s="148" t="s">
        <v>39</v>
      </c>
      <c r="C13" s="148" t="s">
        <v>40</v>
      </c>
      <c r="D13" s="149" t="s">
        <v>22</v>
      </c>
      <c r="E13" s="226">
        <v>1</v>
      </c>
      <c r="F13" s="147" t="s">
        <v>31</v>
      </c>
      <c r="G13" s="225">
        <v>4099550</v>
      </c>
      <c r="H13" s="163">
        <f t="shared" si="2"/>
        <v>4099550</v>
      </c>
      <c r="I13" s="150">
        <v>2566250.0000000005</v>
      </c>
      <c r="J13" s="151">
        <f t="shared" si="3"/>
        <v>2566250.0000000005</v>
      </c>
      <c r="K13" s="155">
        <v>2566250.0000000005</v>
      </c>
      <c r="L13" s="156">
        <f t="shared" si="7"/>
        <v>2566250.0000000005</v>
      </c>
      <c r="M13" s="155">
        <v>3109787.333333333</v>
      </c>
      <c r="N13" s="156">
        <f t="shared" si="8"/>
        <v>3109787.333333333</v>
      </c>
      <c r="O13" s="156">
        <v>3677100</v>
      </c>
      <c r="P13" s="165">
        <f>O13*E13</f>
        <v>3677100</v>
      </c>
      <c r="Q13" s="152"/>
      <c r="R13" s="153"/>
      <c r="S13" s="155">
        <v>4522000</v>
      </c>
      <c r="T13" s="167">
        <f>S13*E13</f>
        <v>4522000</v>
      </c>
      <c r="U13" s="156">
        <f>AVERAGE(J13,L13,N13)</f>
        <v>2747429.1111111115</v>
      </c>
      <c r="V13" s="168">
        <f>+MIN(J13,L13,N13)</f>
        <v>2566250.0000000005</v>
      </c>
      <c r="W13" s="147">
        <f>MEDIAN(J13,L13,N13)</f>
        <v>2566250.0000000005</v>
      </c>
      <c r="X13" s="157">
        <f>GEOMEAN(J13,L13,N13)</f>
        <v>2735958.706510474</v>
      </c>
      <c r="Y13" s="174"/>
      <c r="Z13" s="159">
        <f>V13</f>
        <v>2566250.0000000005</v>
      </c>
    </row>
    <row r="14" spans="1:26" ht="27.75" customHeight="1" x14ac:dyDescent="0.15">
      <c r="A14" s="208">
        <v>9</v>
      </c>
      <c r="B14" s="161" t="s">
        <v>41</v>
      </c>
      <c r="C14" s="161" t="s">
        <v>42</v>
      </c>
      <c r="D14" s="162" t="s">
        <v>22</v>
      </c>
      <c r="E14" s="226">
        <v>1</v>
      </c>
      <c r="F14" s="160" t="s">
        <v>31</v>
      </c>
      <c r="G14" s="225">
        <v>2998800</v>
      </c>
      <c r="H14" s="163">
        <f t="shared" si="2"/>
        <v>2998800</v>
      </c>
      <c r="I14" s="150">
        <v>4050000</v>
      </c>
      <c r="J14" s="165">
        <f t="shared" si="3"/>
        <v>4050000</v>
      </c>
      <c r="K14" s="166">
        <v>2399150</v>
      </c>
      <c r="L14" s="167">
        <f t="shared" si="7"/>
        <v>2399150</v>
      </c>
      <c r="M14" s="166">
        <v>2237993.3333333335</v>
      </c>
      <c r="N14" s="167">
        <f t="shared" si="8"/>
        <v>2237993.3333333335</v>
      </c>
      <c r="O14" s="167">
        <v>3677100</v>
      </c>
      <c r="P14" s="165">
        <f>O14*E14</f>
        <v>3677100</v>
      </c>
      <c r="Q14" s="152"/>
      <c r="R14" s="153"/>
      <c r="S14" s="166">
        <v>4165000</v>
      </c>
      <c r="T14" s="167">
        <f>S14*E14</f>
        <v>4165000</v>
      </c>
      <c r="U14" s="156">
        <f>AVERAGE(J14,L14,N14)</f>
        <v>2895714.4444444445</v>
      </c>
      <c r="V14" s="168">
        <f>+MIN(J14,L14,N14)</f>
        <v>2237993.3333333335</v>
      </c>
      <c r="W14" s="163">
        <f>MEDIAN(J14,L14,N14)</f>
        <v>2399150</v>
      </c>
      <c r="X14" s="169">
        <f>GEOMEAN(J14,L14,N14)</f>
        <v>2791196.4527942957</v>
      </c>
      <c r="Y14" s="170"/>
      <c r="Z14" s="171">
        <f>V14</f>
        <v>2237993.3333333335</v>
      </c>
    </row>
    <row r="15" spans="1:26" ht="27.75" customHeight="1" x14ac:dyDescent="0.15">
      <c r="A15" s="208">
        <v>10</v>
      </c>
      <c r="B15" s="161" t="s">
        <v>43</v>
      </c>
      <c r="C15" s="162" t="s">
        <v>44</v>
      </c>
      <c r="D15" s="162" t="s">
        <v>22</v>
      </c>
      <c r="E15" s="226">
        <v>1</v>
      </c>
      <c r="F15" s="160" t="s">
        <v>31</v>
      </c>
      <c r="G15" s="225">
        <v>279650</v>
      </c>
      <c r="H15" s="163">
        <f t="shared" si="2"/>
        <v>279650</v>
      </c>
      <c r="I15" s="167">
        <v>284700</v>
      </c>
      <c r="J15" s="165">
        <f t="shared" si="3"/>
        <v>284700</v>
      </c>
      <c r="K15" s="166">
        <f>74475*1.19</f>
        <v>88625.25</v>
      </c>
      <c r="L15" s="167">
        <f t="shared" si="7"/>
        <v>88625.25</v>
      </c>
      <c r="M15" s="166">
        <f>126600*1.19</f>
        <v>150654</v>
      </c>
      <c r="N15" s="167">
        <f t="shared" si="8"/>
        <v>150654</v>
      </c>
      <c r="O15" s="167">
        <v>142800</v>
      </c>
      <c r="P15" s="165">
        <f>O15*E15</f>
        <v>142800</v>
      </c>
      <c r="Q15" s="152"/>
      <c r="R15" s="153"/>
      <c r="S15" s="167">
        <v>416500</v>
      </c>
      <c r="T15" s="167">
        <f>S15*E15</f>
        <v>416500</v>
      </c>
      <c r="U15" s="168">
        <f>AVERAGE(J15,L15,N15)</f>
        <v>174659.75</v>
      </c>
      <c r="V15" s="167">
        <f>+MIN(J15,L15,N15)</f>
        <v>88625.25</v>
      </c>
      <c r="W15" s="163">
        <f>MEDIAN(J15,L15,N15)</f>
        <v>150654</v>
      </c>
      <c r="X15" s="169">
        <f>GEOMEAN(J15,L15,N15)</f>
        <v>156066.08493831247</v>
      </c>
      <c r="Y15" s="170"/>
      <c r="Z15" s="171">
        <f>U15</f>
        <v>174659.75</v>
      </c>
    </row>
    <row r="16" spans="1:26" ht="27.75" customHeight="1" x14ac:dyDescent="0.15">
      <c r="A16" s="293" t="s">
        <v>338</v>
      </c>
      <c r="B16" s="294"/>
      <c r="C16" s="294"/>
      <c r="D16" s="294"/>
      <c r="E16" s="295"/>
      <c r="F16" s="218"/>
      <c r="G16" s="143"/>
      <c r="H16" s="143">
        <f>SUM(H17:H60)</f>
        <v>106118555</v>
      </c>
      <c r="I16" s="143">
        <f t="shared" ref="I16:Z16" si="9">SUM(I17:I60)</f>
        <v>70181706.310000002</v>
      </c>
      <c r="J16" s="143">
        <f t="shared" si="9"/>
        <v>124858637.94999999</v>
      </c>
      <c r="K16" s="143">
        <f t="shared" si="9"/>
        <v>214610214.61666664</v>
      </c>
      <c r="L16" s="143">
        <f t="shared" si="9"/>
        <v>433092879.86666667</v>
      </c>
      <c r="M16" s="143">
        <f t="shared" si="9"/>
        <v>8050984.6587333335</v>
      </c>
      <c r="N16" s="143">
        <f t="shared" si="9"/>
        <v>19450153.325400002</v>
      </c>
      <c r="O16" s="143"/>
      <c r="P16" s="143"/>
      <c r="Q16" s="143"/>
      <c r="R16" s="143"/>
      <c r="S16" s="143"/>
      <c r="T16" s="143"/>
      <c r="U16" s="143">
        <f t="shared" si="9"/>
        <v>277052846.43513334</v>
      </c>
      <c r="V16" s="143">
        <f t="shared" si="9"/>
        <v>44158742.632700004</v>
      </c>
      <c r="W16" s="143">
        <f t="shared" si="9"/>
        <v>266478906.50270003</v>
      </c>
      <c r="X16" s="144">
        <f t="shared" si="9"/>
        <v>75534860.729908526</v>
      </c>
      <c r="Y16" s="143">
        <f t="shared" si="9"/>
        <v>69296606.784689516</v>
      </c>
      <c r="Z16" s="146">
        <f t="shared" si="9"/>
        <v>93775307.36652638</v>
      </c>
    </row>
    <row r="17" spans="1:26" ht="27.75" customHeight="1" x14ac:dyDescent="0.15">
      <c r="A17" s="208"/>
      <c r="B17" s="161" t="s">
        <v>46</v>
      </c>
      <c r="C17" s="161" t="s">
        <v>47</v>
      </c>
      <c r="D17" s="162" t="s">
        <v>48</v>
      </c>
      <c r="E17" s="224">
        <v>1</v>
      </c>
      <c r="F17" s="160" t="s">
        <v>23</v>
      </c>
      <c r="G17" s="212">
        <v>342248</v>
      </c>
      <c r="H17" s="163">
        <f t="shared" ref="H17:H60" si="10">G17*E17</f>
        <v>342248</v>
      </c>
      <c r="I17" s="167">
        <f>239244*1.19</f>
        <v>284700.36</v>
      </c>
      <c r="J17" s="165">
        <f t="shared" si="3"/>
        <v>284700.36</v>
      </c>
      <c r="K17" s="166">
        <v>303625</v>
      </c>
      <c r="L17" s="167">
        <f t="shared" ref="L17:L60" si="11">+K17*E17</f>
        <v>303625</v>
      </c>
      <c r="M17" s="152"/>
      <c r="N17" s="153"/>
      <c r="O17" s="153"/>
      <c r="P17" s="154"/>
      <c r="Q17" s="166">
        <v>537600</v>
      </c>
      <c r="R17" s="156">
        <f t="shared" ref="R17:R26" si="12">Q17*E17</f>
        <v>537600</v>
      </c>
      <c r="S17" s="152"/>
      <c r="T17" s="153"/>
      <c r="U17" s="168">
        <f t="shared" ref="U17:U60" si="13">AVERAGE(J17,L17,N17)</f>
        <v>294162.68</v>
      </c>
      <c r="V17" s="167">
        <f t="shared" ref="V17:V60" si="14">+MIN(J17,L17,N17)</f>
        <v>284700.36</v>
      </c>
      <c r="W17" s="163">
        <f t="shared" ref="W17:W60" si="15">MEDIAN(J17,L17,N17)</f>
        <v>294162.68</v>
      </c>
      <c r="X17" s="169">
        <f t="shared" ref="X17:X38" si="16">GEOMEAN(J17,L17,N17)</f>
        <v>294010.45356415474</v>
      </c>
      <c r="Y17" s="170"/>
      <c r="Z17" s="171">
        <f>U17</f>
        <v>294162.68</v>
      </c>
    </row>
    <row r="18" spans="1:26" ht="27.75" customHeight="1" x14ac:dyDescent="0.15">
      <c r="A18" s="208">
        <v>12</v>
      </c>
      <c r="B18" s="161" t="s">
        <v>333</v>
      </c>
      <c r="C18" s="161"/>
      <c r="D18" s="162" t="s">
        <v>48</v>
      </c>
      <c r="E18" s="224">
        <v>1</v>
      </c>
      <c r="F18" s="160" t="s">
        <v>23</v>
      </c>
      <c r="G18" s="212">
        <v>247098</v>
      </c>
      <c r="H18" s="163">
        <f t="shared" si="10"/>
        <v>247098</v>
      </c>
      <c r="I18" s="167">
        <v>323700</v>
      </c>
      <c r="J18" s="165">
        <f t="shared" si="3"/>
        <v>323700</v>
      </c>
      <c r="K18" s="166">
        <v>130270.00000000001</v>
      </c>
      <c r="L18" s="167">
        <f t="shared" si="11"/>
        <v>130270.00000000001</v>
      </c>
      <c r="M18" s="152"/>
      <c r="N18" s="153"/>
      <c r="O18" s="153"/>
      <c r="P18" s="154"/>
      <c r="Q18" s="166">
        <v>254000</v>
      </c>
      <c r="R18" s="167">
        <f t="shared" si="12"/>
        <v>254000</v>
      </c>
      <c r="S18" s="152"/>
      <c r="T18" s="153"/>
      <c r="U18" s="168">
        <f t="shared" si="13"/>
        <v>226985</v>
      </c>
      <c r="V18" s="167">
        <f t="shared" si="14"/>
        <v>130270.00000000001</v>
      </c>
      <c r="W18" s="163">
        <f t="shared" si="15"/>
        <v>226985</v>
      </c>
      <c r="X18" s="169">
        <f t="shared" si="16"/>
        <v>205349.45580643744</v>
      </c>
      <c r="Y18" s="170"/>
      <c r="Z18" s="171">
        <f>U18</f>
        <v>226985</v>
      </c>
    </row>
    <row r="19" spans="1:26" ht="27.75" customHeight="1" x14ac:dyDescent="0.15">
      <c r="A19" s="208">
        <v>13</v>
      </c>
      <c r="B19" s="161" t="s">
        <v>51</v>
      </c>
      <c r="C19" s="161"/>
      <c r="D19" s="162" t="s">
        <v>48</v>
      </c>
      <c r="E19" s="224">
        <v>1</v>
      </c>
      <c r="F19" s="160" t="s">
        <v>23</v>
      </c>
      <c r="G19" s="212">
        <v>26554</v>
      </c>
      <c r="H19" s="163">
        <f t="shared" si="10"/>
        <v>26554</v>
      </c>
      <c r="I19" s="150">
        <v>197997</v>
      </c>
      <c r="J19" s="165">
        <f t="shared" si="3"/>
        <v>197997</v>
      </c>
      <c r="K19" s="166">
        <v>112375</v>
      </c>
      <c r="L19" s="167">
        <f t="shared" si="11"/>
        <v>112375</v>
      </c>
      <c r="M19" s="152"/>
      <c r="N19" s="153"/>
      <c r="O19" s="153"/>
      <c r="P19" s="154"/>
      <c r="Q19" s="166">
        <v>39100</v>
      </c>
      <c r="R19" s="167">
        <f t="shared" si="12"/>
        <v>39100</v>
      </c>
      <c r="S19" s="152"/>
      <c r="T19" s="153"/>
      <c r="U19" s="168">
        <f t="shared" si="13"/>
        <v>155186</v>
      </c>
      <c r="V19" s="167">
        <f t="shared" si="14"/>
        <v>112375</v>
      </c>
      <c r="W19" s="163">
        <f t="shared" si="15"/>
        <v>155186</v>
      </c>
      <c r="X19" s="169">
        <f t="shared" si="16"/>
        <v>149164.04685781355</v>
      </c>
      <c r="Y19" s="170"/>
      <c r="Z19" s="171">
        <f>U19</f>
        <v>155186</v>
      </c>
    </row>
    <row r="20" spans="1:26" s="138" customFormat="1" ht="27.75" customHeight="1" x14ac:dyDescent="0.15">
      <c r="A20" s="208">
        <v>14</v>
      </c>
      <c r="B20" s="148" t="s">
        <v>53</v>
      </c>
      <c r="C20" s="148" t="s">
        <v>54</v>
      </c>
      <c r="D20" s="149" t="s">
        <v>48</v>
      </c>
      <c r="E20" s="224">
        <v>5</v>
      </c>
      <c r="F20" s="147" t="s">
        <v>23</v>
      </c>
      <c r="G20" s="212">
        <v>44290</v>
      </c>
      <c r="H20" s="163">
        <f t="shared" si="10"/>
        <v>221450</v>
      </c>
      <c r="I20" s="150">
        <f>166384*1.19</f>
        <v>197996.96</v>
      </c>
      <c r="J20" s="151">
        <f t="shared" si="3"/>
        <v>989984.79999999993</v>
      </c>
      <c r="K20" s="155">
        <f>45063*1.19</f>
        <v>53624.97</v>
      </c>
      <c r="L20" s="156">
        <f t="shared" si="11"/>
        <v>268124.84999999998</v>
      </c>
      <c r="M20" s="155">
        <f>51333.33*1.19</f>
        <v>61086.662700000001</v>
      </c>
      <c r="N20" s="156">
        <f t="shared" ref="N20:N59" si="17">+M20*E20</f>
        <v>305433.31349999999</v>
      </c>
      <c r="O20" s="153"/>
      <c r="P20" s="154"/>
      <c r="Q20" s="155">
        <v>55900</v>
      </c>
      <c r="R20" s="167">
        <f t="shared" si="12"/>
        <v>279500</v>
      </c>
      <c r="S20" s="152"/>
      <c r="T20" s="153"/>
      <c r="U20" s="168">
        <f t="shared" si="13"/>
        <v>521180.98783333326</v>
      </c>
      <c r="V20" s="156">
        <f t="shared" si="14"/>
        <v>268124.84999999998</v>
      </c>
      <c r="W20" s="147">
        <f t="shared" si="15"/>
        <v>305433.31349999999</v>
      </c>
      <c r="X20" s="157">
        <f t="shared" si="16"/>
        <v>432806.7236706512</v>
      </c>
      <c r="Y20" s="174"/>
      <c r="Z20" s="159">
        <f>U20</f>
        <v>521180.98783333326</v>
      </c>
    </row>
    <row r="21" spans="1:26" ht="27.75" customHeight="1" x14ac:dyDescent="0.15">
      <c r="A21" s="208">
        <v>15</v>
      </c>
      <c r="B21" s="161" t="s">
        <v>55</v>
      </c>
      <c r="C21" s="175" t="s">
        <v>56</v>
      </c>
      <c r="D21" s="162" t="s">
        <v>22</v>
      </c>
      <c r="E21" s="224">
        <v>1</v>
      </c>
      <c r="F21" s="160" t="s">
        <v>23</v>
      </c>
      <c r="G21" s="212">
        <v>249050</v>
      </c>
      <c r="H21" s="163">
        <f t="shared" si="10"/>
        <v>249050</v>
      </c>
      <c r="I21" s="167">
        <v>315000.00000000006</v>
      </c>
      <c r="J21" s="165">
        <f t="shared" si="3"/>
        <v>315000.00000000006</v>
      </c>
      <c r="K21" s="166">
        <v>244187.5</v>
      </c>
      <c r="L21" s="167">
        <f t="shared" si="11"/>
        <v>244187.5</v>
      </c>
      <c r="M21" s="152"/>
      <c r="N21" s="153"/>
      <c r="O21" s="153"/>
      <c r="P21" s="154"/>
      <c r="Q21" s="166">
        <v>414400</v>
      </c>
      <c r="R21" s="167">
        <f t="shared" si="12"/>
        <v>414400</v>
      </c>
      <c r="S21" s="152"/>
      <c r="T21" s="153"/>
      <c r="U21" s="156">
        <f t="shared" si="13"/>
        <v>279593.75</v>
      </c>
      <c r="V21" s="168">
        <f t="shared" si="14"/>
        <v>244187.5</v>
      </c>
      <c r="W21" s="163">
        <f t="shared" si="15"/>
        <v>279593.75</v>
      </c>
      <c r="X21" s="169">
        <f t="shared" si="16"/>
        <v>277342.86091406789</v>
      </c>
      <c r="Y21" s="170"/>
      <c r="Z21" s="171">
        <f>V21</f>
        <v>244187.5</v>
      </c>
    </row>
    <row r="22" spans="1:26" s="138" customFormat="1" ht="27.75" customHeight="1" x14ac:dyDescent="0.15">
      <c r="A22" s="208">
        <v>16</v>
      </c>
      <c r="B22" s="148" t="s">
        <v>57</v>
      </c>
      <c r="C22" s="148" t="s">
        <v>58</v>
      </c>
      <c r="D22" s="149" t="s">
        <v>22</v>
      </c>
      <c r="E22" s="224">
        <v>2</v>
      </c>
      <c r="F22" s="147" t="s">
        <v>23</v>
      </c>
      <c r="G22" s="212">
        <v>883196</v>
      </c>
      <c r="H22" s="163">
        <f t="shared" si="10"/>
        <v>1766392</v>
      </c>
      <c r="I22" s="176">
        <v>1755000</v>
      </c>
      <c r="J22" s="151">
        <f t="shared" si="3"/>
        <v>3510000</v>
      </c>
      <c r="K22" s="155">
        <v>974875</v>
      </c>
      <c r="L22" s="156">
        <f t="shared" si="11"/>
        <v>1949750</v>
      </c>
      <c r="M22" s="152"/>
      <c r="N22" s="153"/>
      <c r="O22" s="153"/>
      <c r="P22" s="154"/>
      <c r="Q22" s="155">
        <v>1254300</v>
      </c>
      <c r="R22" s="167">
        <f t="shared" si="12"/>
        <v>2508600</v>
      </c>
      <c r="S22" s="152"/>
      <c r="T22" s="153"/>
      <c r="U22" s="168">
        <f t="shared" si="13"/>
        <v>2729875</v>
      </c>
      <c r="V22" s="156">
        <f t="shared" si="14"/>
        <v>1949750</v>
      </c>
      <c r="W22" s="147">
        <f t="shared" si="15"/>
        <v>2729875</v>
      </c>
      <c r="X22" s="157">
        <f t="shared" si="16"/>
        <v>2616031.8232009336</v>
      </c>
      <c r="Y22" s="174"/>
      <c r="Z22" s="159">
        <f>U22</f>
        <v>2729875</v>
      </c>
    </row>
    <row r="23" spans="1:26" ht="27.75" customHeight="1" x14ac:dyDescent="0.15">
      <c r="A23" s="208">
        <v>17</v>
      </c>
      <c r="B23" s="161" t="s">
        <v>59</v>
      </c>
      <c r="C23" s="161" t="s">
        <v>60</v>
      </c>
      <c r="D23" s="162" t="s">
        <v>22</v>
      </c>
      <c r="E23" s="224">
        <v>5</v>
      </c>
      <c r="F23" s="160" t="s">
        <v>23</v>
      </c>
      <c r="G23" s="212">
        <v>37011</v>
      </c>
      <c r="H23" s="163">
        <f t="shared" si="10"/>
        <v>185055</v>
      </c>
      <c r="I23" s="176">
        <f>642605*1.19</f>
        <v>764699.95</v>
      </c>
      <c r="J23" s="165">
        <f t="shared" si="3"/>
        <v>3823499.75</v>
      </c>
      <c r="K23" s="166">
        <f>42962*1.19</f>
        <v>51124.78</v>
      </c>
      <c r="L23" s="167">
        <f t="shared" si="11"/>
        <v>255623.9</v>
      </c>
      <c r="M23" s="166">
        <f>64666.67*1.19</f>
        <v>76953.337299999999</v>
      </c>
      <c r="N23" s="167">
        <f t="shared" si="17"/>
        <v>384766.68650000001</v>
      </c>
      <c r="O23" s="153"/>
      <c r="P23" s="154"/>
      <c r="Q23" s="166">
        <v>26800</v>
      </c>
      <c r="R23" s="167">
        <f t="shared" si="12"/>
        <v>134000</v>
      </c>
      <c r="S23" s="152"/>
      <c r="T23" s="153"/>
      <c r="U23" s="168">
        <f t="shared" si="13"/>
        <v>1487963.4455000001</v>
      </c>
      <c r="V23" s="167">
        <f t="shared" si="14"/>
        <v>255623.9</v>
      </c>
      <c r="W23" s="147">
        <f t="shared" si="15"/>
        <v>384766.68650000001</v>
      </c>
      <c r="X23" s="169">
        <f t="shared" si="16"/>
        <v>721805.18147952226</v>
      </c>
      <c r="Y23" s="147"/>
      <c r="Z23" s="171">
        <f>U23</f>
        <v>1487963.4455000001</v>
      </c>
    </row>
    <row r="24" spans="1:26" ht="27.75" customHeight="1" x14ac:dyDescent="0.15">
      <c r="A24" s="208">
        <v>18</v>
      </c>
      <c r="B24" s="161" t="s">
        <v>309</v>
      </c>
      <c r="C24" s="161" t="s">
        <v>62</v>
      </c>
      <c r="D24" s="162" t="s">
        <v>22</v>
      </c>
      <c r="E24" s="224">
        <v>1</v>
      </c>
      <c r="F24" s="160" t="s">
        <v>23</v>
      </c>
      <c r="G24" s="212">
        <v>2214934</v>
      </c>
      <c r="H24" s="163">
        <f t="shared" si="10"/>
        <v>2214934</v>
      </c>
      <c r="I24" s="177">
        <v>1170000</v>
      </c>
      <c r="J24" s="165">
        <f t="shared" si="3"/>
        <v>1170000</v>
      </c>
      <c r="K24" s="166">
        <v>2010625</v>
      </c>
      <c r="L24" s="167">
        <f t="shared" si="11"/>
        <v>2010625</v>
      </c>
      <c r="M24" s="152"/>
      <c r="N24" s="153"/>
      <c r="O24" s="153"/>
      <c r="P24" s="154"/>
      <c r="Q24" s="166">
        <v>1801600</v>
      </c>
      <c r="R24" s="167">
        <f t="shared" si="12"/>
        <v>1801600</v>
      </c>
      <c r="S24" s="152"/>
      <c r="T24" s="153"/>
      <c r="U24" s="156">
        <f t="shared" si="13"/>
        <v>1590312.5</v>
      </c>
      <c r="V24" s="167">
        <f t="shared" si="14"/>
        <v>1170000</v>
      </c>
      <c r="W24" s="163">
        <f t="shared" si="15"/>
        <v>1590312.5</v>
      </c>
      <c r="X24" s="169">
        <f t="shared" si="16"/>
        <v>1533763.7529945737</v>
      </c>
      <c r="Y24" s="172">
        <f>R24</f>
        <v>1801600</v>
      </c>
      <c r="Z24" s="171">
        <f>Y24</f>
        <v>1801600</v>
      </c>
    </row>
    <row r="25" spans="1:26" ht="27.75" customHeight="1" x14ac:dyDescent="0.15">
      <c r="A25" s="208">
        <v>19</v>
      </c>
      <c r="B25" s="161" t="s">
        <v>63</v>
      </c>
      <c r="C25" s="161" t="s">
        <v>64</v>
      </c>
      <c r="D25" s="162" t="s">
        <v>22</v>
      </c>
      <c r="E25" s="224">
        <v>2</v>
      </c>
      <c r="F25" s="160" t="s">
        <v>23</v>
      </c>
      <c r="G25" s="212">
        <v>5730821</v>
      </c>
      <c r="H25" s="163">
        <f t="shared" si="10"/>
        <v>11461642</v>
      </c>
      <c r="I25" s="168">
        <v>119700</v>
      </c>
      <c r="J25" s="165">
        <f t="shared" si="3"/>
        <v>239400</v>
      </c>
      <c r="K25" s="152">
        <v>196350000</v>
      </c>
      <c r="L25" s="167">
        <f t="shared" si="11"/>
        <v>392700000</v>
      </c>
      <c r="M25" s="152"/>
      <c r="N25" s="153"/>
      <c r="O25" s="153"/>
      <c r="P25" s="154"/>
      <c r="Q25" s="166">
        <v>4272100</v>
      </c>
      <c r="R25" s="167">
        <f t="shared" si="12"/>
        <v>8544200</v>
      </c>
      <c r="S25" s="152"/>
      <c r="T25" s="153"/>
      <c r="U25" s="156">
        <f t="shared" si="13"/>
        <v>196469700</v>
      </c>
      <c r="V25" s="167">
        <f t="shared" si="14"/>
        <v>239400</v>
      </c>
      <c r="W25" s="163">
        <f t="shared" si="15"/>
        <v>196469700</v>
      </c>
      <c r="X25" s="169">
        <f t="shared" si="16"/>
        <v>9695998.1435641795</v>
      </c>
      <c r="Y25" s="172">
        <f>R25</f>
        <v>8544200</v>
      </c>
      <c r="Z25" s="171">
        <f>Y25</f>
        <v>8544200</v>
      </c>
    </row>
    <row r="26" spans="1:26" ht="27.75" customHeight="1" x14ac:dyDescent="0.15">
      <c r="A26" s="208">
        <v>20</v>
      </c>
      <c r="B26" s="161" t="s">
        <v>65</v>
      </c>
      <c r="C26" s="161" t="s">
        <v>66</v>
      </c>
      <c r="D26" s="162" t="s">
        <v>22</v>
      </c>
      <c r="E26" s="224">
        <v>4</v>
      </c>
      <c r="F26" s="160" t="s">
        <v>23</v>
      </c>
      <c r="G26" s="212">
        <v>607794</v>
      </c>
      <c r="H26" s="163">
        <f t="shared" si="10"/>
        <v>2431176</v>
      </c>
      <c r="I26" s="176">
        <v>860700</v>
      </c>
      <c r="J26" s="165">
        <f t="shared" si="3"/>
        <v>3442800</v>
      </c>
      <c r="K26" s="166">
        <v>706125</v>
      </c>
      <c r="L26" s="167">
        <f t="shared" si="11"/>
        <v>2824500</v>
      </c>
      <c r="M26" s="152"/>
      <c r="N26" s="153"/>
      <c r="O26" s="153"/>
      <c r="P26" s="154"/>
      <c r="Q26" s="166">
        <v>749900</v>
      </c>
      <c r="R26" s="167">
        <f t="shared" si="12"/>
        <v>2999600</v>
      </c>
      <c r="S26" s="152"/>
      <c r="T26" s="153"/>
      <c r="U26" s="156">
        <f t="shared" si="13"/>
        <v>3133650</v>
      </c>
      <c r="V26" s="167">
        <f t="shared" si="14"/>
        <v>2824500</v>
      </c>
      <c r="W26" s="163">
        <f t="shared" si="15"/>
        <v>3133650</v>
      </c>
      <c r="X26" s="169">
        <f t="shared" si="16"/>
        <v>3118363.1283094659</v>
      </c>
      <c r="Y26" s="172">
        <f t="shared" ref="Y26" si="18">R26</f>
        <v>2999600</v>
      </c>
      <c r="Z26" s="171">
        <f>Y26</f>
        <v>2999600</v>
      </c>
    </row>
    <row r="27" spans="1:26" ht="27.75" customHeight="1" x14ac:dyDescent="0.15">
      <c r="A27" s="208">
        <v>21</v>
      </c>
      <c r="B27" s="161" t="s">
        <v>266</v>
      </c>
      <c r="C27" s="161" t="s">
        <v>66</v>
      </c>
      <c r="D27" s="162" t="s">
        <v>22</v>
      </c>
      <c r="E27" s="224">
        <v>3</v>
      </c>
      <c r="F27" s="160" t="s">
        <v>23</v>
      </c>
      <c r="G27" s="212">
        <v>419939</v>
      </c>
      <c r="H27" s="163">
        <f t="shared" si="10"/>
        <v>1259817</v>
      </c>
      <c r="I27" s="176">
        <v>860700</v>
      </c>
      <c r="J27" s="165">
        <f t="shared" si="3"/>
        <v>2582100</v>
      </c>
      <c r="K27" s="166">
        <v>383625.00000000006</v>
      </c>
      <c r="L27" s="167">
        <f t="shared" si="11"/>
        <v>1150875.0000000002</v>
      </c>
      <c r="M27" s="166">
        <v>389526.66666666663</v>
      </c>
      <c r="N27" s="167">
        <f t="shared" si="17"/>
        <v>1168580</v>
      </c>
      <c r="O27" s="153"/>
      <c r="P27" s="154"/>
      <c r="Q27" s="152"/>
      <c r="R27" s="153"/>
      <c r="S27" s="152"/>
      <c r="T27" s="153"/>
      <c r="U27" s="156">
        <f t="shared" si="13"/>
        <v>1633851.6666666667</v>
      </c>
      <c r="V27" s="167">
        <f t="shared" si="14"/>
        <v>1150875.0000000002</v>
      </c>
      <c r="W27" s="172">
        <f t="shared" si="15"/>
        <v>1168580</v>
      </c>
      <c r="X27" s="169">
        <f t="shared" si="16"/>
        <v>1514327.7737895278</v>
      </c>
      <c r="Y27" s="172">
        <f>X27</f>
        <v>1514327.7737895278</v>
      </c>
      <c r="Z27" s="171">
        <f>Y27</f>
        <v>1514327.7737895278</v>
      </c>
    </row>
    <row r="28" spans="1:26" ht="27.75" customHeight="1" x14ac:dyDescent="0.15">
      <c r="A28" s="208">
        <v>22</v>
      </c>
      <c r="B28" s="161" t="s">
        <v>68</v>
      </c>
      <c r="C28" s="161" t="s">
        <v>69</v>
      </c>
      <c r="D28" s="162" t="s">
        <v>22</v>
      </c>
      <c r="E28" s="224">
        <v>1</v>
      </c>
      <c r="F28" s="160" t="s">
        <v>23</v>
      </c>
      <c r="G28" s="212">
        <v>771760</v>
      </c>
      <c r="H28" s="163">
        <f t="shared" si="10"/>
        <v>771760</v>
      </c>
      <c r="I28" s="176">
        <v>1109700</v>
      </c>
      <c r="J28" s="165">
        <f t="shared" si="3"/>
        <v>1109700</v>
      </c>
      <c r="K28" s="166">
        <v>462375.00000000006</v>
      </c>
      <c r="L28" s="167">
        <f t="shared" si="11"/>
        <v>462375.00000000006</v>
      </c>
      <c r="M28" s="166">
        <v>452993.33333333337</v>
      </c>
      <c r="N28" s="167">
        <f t="shared" si="17"/>
        <v>452993.33333333337</v>
      </c>
      <c r="O28" s="153"/>
      <c r="P28" s="154"/>
      <c r="Q28" s="152"/>
      <c r="R28" s="153"/>
      <c r="S28" s="152"/>
      <c r="T28" s="153"/>
      <c r="U28" s="168">
        <f t="shared" si="13"/>
        <v>675022.77777777787</v>
      </c>
      <c r="V28" s="156">
        <f t="shared" si="14"/>
        <v>452993.33333333337</v>
      </c>
      <c r="W28" s="163">
        <f t="shared" si="15"/>
        <v>462375.00000000006</v>
      </c>
      <c r="X28" s="169">
        <f t="shared" si="16"/>
        <v>614842.54795557191</v>
      </c>
      <c r="Y28" s="170"/>
      <c r="Z28" s="171">
        <f>U28</f>
        <v>675022.77777777787</v>
      </c>
    </row>
    <row r="29" spans="1:26" s="138" customFormat="1" ht="27.75" customHeight="1" x14ac:dyDescent="0.15">
      <c r="A29" s="208">
        <v>23</v>
      </c>
      <c r="B29" s="148" t="s">
        <v>70</v>
      </c>
      <c r="C29" s="148" t="s">
        <v>71</v>
      </c>
      <c r="D29" s="149" t="s">
        <v>107</v>
      </c>
      <c r="E29" s="224">
        <v>3</v>
      </c>
      <c r="F29" s="147" t="s">
        <v>23</v>
      </c>
      <c r="G29" s="212">
        <v>34991</v>
      </c>
      <c r="H29" s="163">
        <f t="shared" si="10"/>
        <v>104973</v>
      </c>
      <c r="I29" s="176">
        <v>197997</v>
      </c>
      <c r="J29" s="151">
        <f t="shared" si="3"/>
        <v>593991</v>
      </c>
      <c r="K29" s="155">
        <v>112375</v>
      </c>
      <c r="L29" s="156">
        <f t="shared" si="11"/>
        <v>337125</v>
      </c>
      <c r="M29" s="155">
        <v>61086.666666666672</v>
      </c>
      <c r="N29" s="156">
        <f t="shared" si="17"/>
        <v>183260</v>
      </c>
      <c r="O29" s="153"/>
      <c r="P29" s="154"/>
      <c r="Q29" s="152"/>
      <c r="R29" s="153"/>
      <c r="S29" s="152"/>
      <c r="T29" s="153"/>
      <c r="U29" s="168">
        <f t="shared" si="13"/>
        <v>371458.66666666669</v>
      </c>
      <c r="V29" s="167">
        <f t="shared" si="14"/>
        <v>183260</v>
      </c>
      <c r="W29" s="147">
        <f t="shared" si="15"/>
        <v>337125</v>
      </c>
      <c r="X29" s="157">
        <f t="shared" si="16"/>
        <v>332312.11063365929</v>
      </c>
      <c r="Y29" s="174"/>
      <c r="Z29" s="159">
        <f>U29</f>
        <v>371458.66666666669</v>
      </c>
    </row>
    <row r="30" spans="1:26" ht="27.75" customHeight="1" x14ac:dyDescent="0.15">
      <c r="A30" s="208">
        <v>24</v>
      </c>
      <c r="B30" s="161" t="s">
        <v>72</v>
      </c>
      <c r="C30" s="161" t="s">
        <v>334</v>
      </c>
      <c r="D30" s="162" t="s">
        <v>22</v>
      </c>
      <c r="E30" s="224">
        <v>2</v>
      </c>
      <c r="F30" s="160" t="s">
        <v>23</v>
      </c>
      <c r="G30" s="212">
        <v>1307505</v>
      </c>
      <c r="H30" s="163">
        <f t="shared" si="10"/>
        <v>2615010</v>
      </c>
      <c r="I30" s="167">
        <v>1047000</v>
      </c>
      <c r="J30" s="165">
        <f t="shared" si="3"/>
        <v>2094000</v>
      </c>
      <c r="K30" s="166">
        <v>1474875</v>
      </c>
      <c r="L30" s="167">
        <f t="shared" si="11"/>
        <v>2949750</v>
      </c>
      <c r="M30" s="166">
        <v>294326.66666666669</v>
      </c>
      <c r="N30" s="167">
        <f t="shared" si="17"/>
        <v>588653.33333333337</v>
      </c>
      <c r="O30" s="153"/>
      <c r="P30" s="154"/>
      <c r="Q30" s="166">
        <v>1672200</v>
      </c>
      <c r="R30" s="167">
        <f>Q30*E30</f>
        <v>3344400</v>
      </c>
      <c r="S30" s="152"/>
      <c r="T30" s="153"/>
      <c r="U30" s="156">
        <f t="shared" si="13"/>
        <v>1877467.7777777778</v>
      </c>
      <c r="V30" s="167">
        <f t="shared" si="14"/>
        <v>588653.33333333337</v>
      </c>
      <c r="W30" s="163">
        <f t="shared" si="15"/>
        <v>2094000</v>
      </c>
      <c r="X30" s="169">
        <f t="shared" si="16"/>
        <v>1537707.8505055727</v>
      </c>
      <c r="Y30" s="172">
        <f>R30</f>
        <v>3344400</v>
      </c>
      <c r="Z30" s="171">
        <f>Y30</f>
        <v>3344400</v>
      </c>
    </row>
    <row r="31" spans="1:26" s="138" customFormat="1" ht="27.75" customHeight="1" x14ac:dyDescent="0.15">
      <c r="A31" s="208">
        <v>25</v>
      </c>
      <c r="B31" s="148" t="s">
        <v>73</v>
      </c>
      <c r="C31" s="148" t="s">
        <v>74</v>
      </c>
      <c r="D31" s="149" t="s">
        <v>22</v>
      </c>
      <c r="E31" s="224">
        <v>1</v>
      </c>
      <c r="F31" s="147" t="s">
        <v>31</v>
      </c>
      <c r="G31" s="212">
        <v>16184000</v>
      </c>
      <c r="H31" s="163">
        <f t="shared" si="10"/>
        <v>16184000</v>
      </c>
      <c r="I31" s="168">
        <v>14700000</v>
      </c>
      <c r="J31" s="151">
        <f t="shared" si="3"/>
        <v>14700000</v>
      </c>
      <c r="K31" s="152"/>
      <c r="L31" s="153"/>
      <c r="M31" s="152"/>
      <c r="N31" s="153"/>
      <c r="O31" s="156">
        <v>18088000</v>
      </c>
      <c r="P31" s="167">
        <f>O31*E31</f>
        <v>18088000</v>
      </c>
      <c r="Q31" s="152"/>
      <c r="R31" s="153"/>
      <c r="S31" s="155">
        <v>14250000</v>
      </c>
      <c r="T31" s="167">
        <f>S31*E31</f>
        <v>14250000</v>
      </c>
      <c r="U31" s="156">
        <f t="shared" si="13"/>
        <v>14700000</v>
      </c>
      <c r="V31" s="167">
        <f t="shared" si="14"/>
        <v>14700000</v>
      </c>
      <c r="W31" s="147">
        <f t="shared" si="15"/>
        <v>14700000</v>
      </c>
      <c r="X31" s="157">
        <f t="shared" si="16"/>
        <v>14700000</v>
      </c>
      <c r="Y31" s="172">
        <f>T31</f>
        <v>14250000</v>
      </c>
      <c r="Z31" s="159">
        <f>Y31</f>
        <v>14250000</v>
      </c>
    </row>
    <row r="32" spans="1:26" s="138" customFormat="1" ht="27.75" customHeight="1" x14ac:dyDescent="0.15">
      <c r="A32" s="208">
        <v>26</v>
      </c>
      <c r="B32" s="148" t="s">
        <v>75</v>
      </c>
      <c r="C32" s="148" t="s">
        <v>76</v>
      </c>
      <c r="D32" s="149" t="s">
        <v>22</v>
      </c>
      <c r="E32" s="224">
        <v>1</v>
      </c>
      <c r="F32" s="147" t="s">
        <v>31</v>
      </c>
      <c r="G32" s="212">
        <v>8121750</v>
      </c>
      <c r="H32" s="163">
        <f t="shared" si="10"/>
        <v>8121750</v>
      </c>
      <c r="I32" s="168">
        <v>396000</v>
      </c>
      <c r="J32" s="151">
        <f t="shared" si="3"/>
        <v>396000</v>
      </c>
      <c r="K32" s="152"/>
      <c r="L32" s="153"/>
      <c r="M32" s="152"/>
      <c r="N32" s="153"/>
      <c r="O32" s="156">
        <v>9103500</v>
      </c>
      <c r="P32" s="167">
        <f>O32*E32</f>
        <v>9103500</v>
      </c>
      <c r="Q32" s="152"/>
      <c r="R32" s="153"/>
      <c r="S32" s="155">
        <v>7140000</v>
      </c>
      <c r="T32" s="167">
        <f>S32*E32</f>
        <v>7140000</v>
      </c>
      <c r="U32" s="156">
        <f t="shared" si="13"/>
        <v>396000</v>
      </c>
      <c r="V32" s="167">
        <f t="shared" si="14"/>
        <v>396000</v>
      </c>
      <c r="W32" s="147">
        <f t="shared" si="15"/>
        <v>396000</v>
      </c>
      <c r="X32" s="157">
        <f t="shared" si="16"/>
        <v>396000</v>
      </c>
      <c r="Y32" s="172">
        <f>(T32+P32)/2</f>
        <v>8121750</v>
      </c>
      <c r="Z32" s="159">
        <f>Y32</f>
        <v>8121750</v>
      </c>
    </row>
    <row r="33" spans="1:26" s="138" customFormat="1" ht="27.75" customHeight="1" x14ac:dyDescent="0.15">
      <c r="A33" s="208">
        <v>27</v>
      </c>
      <c r="B33" s="148" t="s">
        <v>263</v>
      </c>
      <c r="C33" s="148" t="s">
        <v>78</v>
      </c>
      <c r="D33" s="149" t="s">
        <v>22</v>
      </c>
      <c r="E33" s="224">
        <v>1</v>
      </c>
      <c r="F33" s="147" t="s">
        <v>31</v>
      </c>
      <c r="G33" s="212">
        <v>4208435</v>
      </c>
      <c r="H33" s="163">
        <f t="shared" si="10"/>
        <v>4208435</v>
      </c>
      <c r="I33" s="176">
        <v>7010970.0000000009</v>
      </c>
      <c r="J33" s="151">
        <f t="shared" si="3"/>
        <v>7010970.0000000009</v>
      </c>
      <c r="K33" s="155">
        <v>1576906.666666667</v>
      </c>
      <c r="L33" s="156">
        <f t="shared" si="11"/>
        <v>1576906.666666667</v>
      </c>
      <c r="M33" s="152"/>
      <c r="N33" s="153"/>
      <c r="O33" s="153"/>
      <c r="P33" s="154"/>
      <c r="Q33" s="152"/>
      <c r="R33" s="153"/>
      <c r="S33" s="155">
        <v>4522000</v>
      </c>
      <c r="T33" s="167">
        <f>S33*E33</f>
        <v>4522000</v>
      </c>
      <c r="U33" s="156">
        <f t="shared" si="13"/>
        <v>4293938.333333334</v>
      </c>
      <c r="V33" s="167">
        <f t="shared" si="14"/>
        <v>1576906.666666667</v>
      </c>
      <c r="W33" s="172">
        <f t="shared" si="15"/>
        <v>4293938.333333334</v>
      </c>
      <c r="X33" s="157">
        <f t="shared" si="16"/>
        <v>3325003.0575625044</v>
      </c>
      <c r="Y33" s="174"/>
      <c r="Z33" s="159">
        <f>W33</f>
        <v>4293938.333333334</v>
      </c>
    </row>
    <row r="34" spans="1:26" s="138" customFormat="1" ht="27.75" customHeight="1" x14ac:dyDescent="0.15">
      <c r="A34" s="208">
        <v>28</v>
      </c>
      <c r="B34" s="148" t="s">
        <v>79</v>
      </c>
      <c r="C34" s="148" t="s">
        <v>80</v>
      </c>
      <c r="D34" s="149" t="s">
        <v>81</v>
      </c>
      <c r="E34" s="224">
        <v>1</v>
      </c>
      <c r="F34" s="147" t="s">
        <v>31</v>
      </c>
      <c r="G34" s="212">
        <v>505750</v>
      </c>
      <c r="H34" s="163">
        <f t="shared" si="10"/>
        <v>505750</v>
      </c>
      <c r="I34" s="176">
        <v>2079000</v>
      </c>
      <c r="J34" s="151">
        <f t="shared" si="3"/>
        <v>2079000</v>
      </c>
      <c r="K34" s="155">
        <v>402220</v>
      </c>
      <c r="L34" s="156">
        <f t="shared" si="11"/>
        <v>402220</v>
      </c>
      <c r="M34" s="152"/>
      <c r="N34" s="153"/>
      <c r="O34" s="156">
        <v>571200</v>
      </c>
      <c r="P34" s="167">
        <f>O34*E34</f>
        <v>571200</v>
      </c>
      <c r="Q34" s="152"/>
      <c r="R34" s="153"/>
      <c r="S34" s="152"/>
      <c r="T34" s="153"/>
      <c r="U34" s="156">
        <f t="shared" si="13"/>
        <v>1240610</v>
      </c>
      <c r="V34" s="167">
        <f t="shared" si="14"/>
        <v>402220</v>
      </c>
      <c r="W34" s="147">
        <f t="shared" si="15"/>
        <v>1240610</v>
      </c>
      <c r="X34" s="157">
        <f t="shared" si="16"/>
        <v>914448.12865465472</v>
      </c>
      <c r="Y34" s="172">
        <f>P34</f>
        <v>571200</v>
      </c>
      <c r="Z34" s="159">
        <f t="shared" ref="Z34:Z39" si="19">Y34</f>
        <v>571200</v>
      </c>
    </row>
    <row r="35" spans="1:26" s="138" customFormat="1" ht="27.75" customHeight="1" x14ac:dyDescent="0.15">
      <c r="A35" s="208">
        <v>29</v>
      </c>
      <c r="B35" s="148" t="s">
        <v>252</v>
      </c>
      <c r="C35" s="148" t="s">
        <v>83</v>
      </c>
      <c r="D35" s="149" t="s">
        <v>22</v>
      </c>
      <c r="E35" s="224">
        <v>1</v>
      </c>
      <c r="F35" s="147" t="s">
        <v>31</v>
      </c>
      <c r="G35" s="212">
        <v>157080</v>
      </c>
      <c r="H35" s="163">
        <f t="shared" si="10"/>
        <v>157080</v>
      </c>
      <c r="I35" s="156">
        <v>127200</v>
      </c>
      <c r="J35" s="151">
        <f t="shared" si="3"/>
        <v>127200</v>
      </c>
      <c r="K35" s="155">
        <v>260715</v>
      </c>
      <c r="L35" s="156">
        <f t="shared" si="11"/>
        <v>260715</v>
      </c>
      <c r="M35" s="152"/>
      <c r="N35" s="153"/>
      <c r="O35" s="156">
        <v>171360</v>
      </c>
      <c r="P35" s="167">
        <f>O35*E35</f>
        <v>171360</v>
      </c>
      <c r="Q35" s="152"/>
      <c r="R35" s="153"/>
      <c r="S35" s="155">
        <v>1428000</v>
      </c>
      <c r="T35" s="167">
        <f>S35*E35</f>
        <v>1428000</v>
      </c>
      <c r="U35" s="156">
        <f t="shared" si="13"/>
        <v>193957.5</v>
      </c>
      <c r="V35" s="167">
        <f t="shared" si="14"/>
        <v>127200</v>
      </c>
      <c r="W35" s="147">
        <f t="shared" si="15"/>
        <v>193957.5</v>
      </c>
      <c r="X35" s="157">
        <f t="shared" si="16"/>
        <v>182106.96856518148</v>
      </c>
      <c r="Y35" s="172">
        <f>(T35+P35)/2</f>
        <v>799680</v>
      </c>
      <c r="Z35" s="159">
        <f t="shared" si="19"/>
        <v>799680</v>
      </c>
    </row>
    <row r="36" spans="1:26" ht="27.75" customHeight="1" x14ac:dyDescent="0.15">
      <c r="A36" s="208">
        <v>30</v>
      </c>
      <c r="B36" s="161" t="s">
        <v>84</v>
      </c>
      <c r="C36" s="161"/>
      <c r="D36" s="162" t="s">
        <v>22</v>
      </c>
      <c r="E36" s="224">
        <v>1</v>
      </c>
      <c r="F36" s="160" t="s">
        <v>31</v>
      </c>
      <c r="G36" s="212">
        <v>439705</v>
      </c>
      <c r="H36" s="163">
        <f t="shared" si="10"/>
        <v>439705</v>
      </c>
      <c r="I36" s="176">
        <v>1319700</v>
      </c>
      <c r="J36" s="165">
        <f t="shared" si="3"/>
        <v>1319700</v>
      </c>
      <c r="K36" s="166">
        <v>549875</v>
      </c>
      <c r="L36" s="167">
        <f t="shared" si="11"/>
        <v>549875</v>
      </c>
      <c r="M36" s="166">
        <v>809993.33333333326</v>
      </c>
      <c r="N36" s="167">
        <f t="shared" si="17"/>
        <v>809993.33333333326</v>
      </c>
      <c r="O36" s="167">
        <v>552160</v>
      </c>
      <c r="P36" s="167">
        <f>O36*E36</f>
        <v>552160</v>
      </c>
      <c r="Q36" s="152"/>
      <c r="R36" s="153"/>
      <c r="S36" s="166">
        <v>654000</v>
      </c>
      <c r="T36" s="167">
        <f>S36*E36</f>
        <v>654000</v>
      </c>
      <c r="U36" s="156">
        <f t="shared" si="13"/>
        <v>893189.44444444438</v>
      </c>
      <c r="V36" s="167">
        <f t="shared" si="14"/>
        <v>549875</v>
      </c>
      <c r="W36" s="163">
        <f t="shared" si="15"/>
        <v>809993.33333333326</v>
      </c>
      <c r="X36" s="169">
        <f t="shared" si="16"/>
        <v>837671.12508820754</v>
      </c>
      <c r="Y36" s="172">
        <f>(P36+T36)/2</f>
        <v>603080</v>
      </c>
      <c r="Z36" s="171">
        <f t="shared" si="19"/>
        <v>603080</v>
      </c>
    </row>
    <row r="37" spans="1:26" ht="27.75" customHeight="1" x14ac:dyDescent="0.15">
      <c r="A37" s="208">
        <v>31</v>
      </c>
      <c r="B37" s="161" t="s">
        <v>85</v>
      </c>
      <c r="C37" s="161" t="s">
        <v>86</v>
      </c>
      <c r="D37" s="162" t="s">
        <v>22</v>
      </c>
      <c r="E37" s="224">
        <v>1</v>
      </c>
      <c r="F37" s="160" t="s">
        <v>31</v>
      </c>
      <c r="G37" s="212">
        <v>2037875</v>
      </c>
      <c r="H37" s="163">
        <f t="shared" si="10"/>
        <v>2037875</v>
      </c>
      <c r="I37" s="168">
        <f>839244*1.19</f>
        <v>998700.36</v>
      </c>
      <c r="J37" s="165">
        <f t="shared" si="3"/>
        <v>998700.36</v>
      </c>
      <c r="K37" s="166">
        <f>209979*1.19</f>
        <v>249875.00999999998</v>
      </c>
      <c r="L37" s="167">
        <f t="shared" si="11"/>
        <v>249875.00999999998</v>
      </c>
      <c r="M37" s="166">
        <f>194133.33*1.19</f>
        <v>231018.66269999999</v>
      </c>
      <c r="N37" s="167">
        <f t="shared" si="17"/>
        <v>231018.66269999999</v>
      </c>
      <c r="O37" s="167">
        <v>3540250</v>
      </c>
      <c r="P37" s="167">
        <f>O37*E37</f>
        <v>3540250</v>
      </c>
      <c r="Q37" s="152"/>
      <c r="R37" s="153"/>
      <c r="S37" s="166">
        <v>535500</v>
      </c>
      <c r="T37" s="167">
        <f>S37*E37</f>
        <v>535500</v>
      </c>
      <c r="U37" s="156">
        <f t="shared" si="13"/>
        <v>493198.01089999994</v>
      </c>
      <c r="V37" s="167">
        <f t="shared" si="14"/>
        <v>231018.66269999999</v>
      </c>
      <c r="W37" s="163">
        <f t="shared" si="15"/>
        <v>249875.00999999998</v>
      </c>
      <c r="X37" s="169">
        <f t="shared" si="16"/>
        <v>386309.18319527613</v>
      </c>
      <c r="Y37" s="172">
        <f>U37</f>
        <v>493198.01089999994</v>
      </c>
      <c r="Z37" s="171">
        <f t="shared" si="19"/>
        <v>493198.01089999994</v>
      </c>
    </row>
    <row r="38" spans="1:26" s="138" customFormat="1" ht="27.75" customHeight="1" x14ac:dyDescent="0.15">
      <c r="A38" s="208">
        <v>32</v>
      </c>
      <c r="B38" s="148" t="s">
        <v>310</v>
      </c>
      <c r="C38" s="148" t="s">
        <v>88</v>
      </c>
      <c r="D38" s="149" t="s">
        <v>22</v>
      </c>
      <c r="E38" s="224">
        <v>1</v>
      </c>
      <c r="F38" s="147" t="s">
        <v>31</v>
      </c>
      <c r="G38" s="212">
        <v>4991455</v>
      </c>
      <c r="H38" s="163">
        <f t="shared" si="10"/>
        <v>4991455</v>
      </c>
      <c r="I38" s="168">
        <v>1472700.0000000002</v>
      </c>
      <c r="J38" s="151">
        <f t="shared" si="3"/>
        <v>1472700.0000000002</v>
      </c>
      <c r="K38" s="155">
        <v>498750</v>
      </c>
      <c r="L38" s="156">
        <f t="shared" si="11"/>
        <v>498750</v>
      </c>
      <c r="M38" s="152"/>
      <c r="N38" s="153"/>
      <c r="O38" s="156">
        <v>5460910</v>
      </c>
      <c r="P38" s="167">
        <f>O38*E38</f>
        <v>5460910</v>
      </c>
      <c r="Q38" s="152"/>
      <c r="R38" s="153"/>
      <c r="S38" s="155">
        <v>4522000</v>
      </c>
      <c r="T38" s="167">
        <f>S38*E38</f>
        <v>4522000</v>
      </c>
      <c r="U38" s="156">
        <f t="shared" si="13"/>
        <v>985725.00000000012</v>
      </c>
      <c r="V38" s="167">
        <f t="shared" si="14"/>
        <v>498750</v>
      </c>
      <c r="W38" s="147">
        <f t="shared" si="15"/>
        <v>985725.00000000012</v>
      </c>
      <c r="X38" s="157">
        <f t="shared" si="16"/>
        <v>857035.07804523385</v>
      </c>
      <c r="Y38" s="172">
        <f>(P38+T38)/2</f>
        <v>4991455</v>
      </c>
      <c r="Z38" s="159">
        <f t="shared" si="19"/>
        <v>4991455</v>
      </c>
    </row>
    <row r="39" spans="1:26" s="138" customFormat="1" ht="27.75" customHeight="1" x14ac:dyDescent="0.15">
      <c r="A39" s="208">
        <v>33</v>
      </c>
      <c r="B39" s="148" t="s">
        <v>89</v>
      </c>
      <c r="C39" s="148" t="s">
        <v>90</v>
      </c>
      <c r="D39" s="149" t="s">
        <v>22</v>
      </c>
      <c r="E39" s="224">
        <v>1</v>
      </c>
      <c r="F39" s="147" t="s">
        <v>31</v>
      </c>
      <c r="G39" s="212">
        <v>13339900</v>
      </c>
      <c r="H39" s="163">
        <f t="shared" si="10"/>
        <v>13339900</v>
      </c>
      <c r="I39" s="153">
        <v>29700</v>
      </c>
      <c r="J39" s="154">
        <f t="shared" si="3"/>
        <v>29700</v>
      </c>
      <c r="K39" s="152"/>
      <c r="L39" s="153">
        <f t="shared" si="11"/>
        <v>0</v>
      </c>
      <c r="M39" s="152"/>
      <c r="N39" s="153"/>
      <c r="O39" s="153"/>
      <c r="P39" s="154"/>
      <c r="Q39" s="152"/>
      <c r="R39" s="153"/>
      <c r="S39" s="155">
        <v>2142000</v>
      </c>
      <c r="T39" s="167">
        <f>S39*E39</f>
        <v>2142000</v>
      </c>
      <c r="U39" s="156">
        <f t="shared" si="13"/>
        <v>14850</v>
      </c>
      <c r="V39" s="167">
        <f t="shared" si="14"/>
        <v>0</v>
      </c>
      <c r="W39" s="147">
        <f t="shared" si="15"/>
        <v>14850</v>
      </c>
      <c r="X39" s="157"/>
      <c r="Y39" s="172">
        <f>T39</f>
        <v>2142000</v>
      </c>
      <c r="Z39" s="159">
        <f t="shared" si="19"/>
        <v>2142000</v>
      </c>
    </row>
    <row r="40" spans="1:26" ht="27.75" customHeight="1" x14ac:dyDescent="0.15">
      <c r="A40" s="208">
        <v>34</v>
      </c>
      <c r="B40" s="161" t="s">
        <v>308</v>
      </c>
      <c r="C40" s="161" t="s">
        <v>92</v>
      </c>
      <c r="D40" s="162" t="s">
        <v>22</v>
      </c>
      <c r="E40" s="224">
        <v>1</v>
      </c>
      <c r="F40" s="160" t="s">
        <v>23</v>
      </c>
      <c r="G40" s="212">
        <v>1867891</v>
      </c>
      <c r="H40" s="163">
        <f t="shared" si="10"/>
        <v>1867891</v>
      </c>
      <c r="I40" s="176">
        <v>5099700</v>
      </c>
      <c r="J40" s="165">
        <f t="shared" si="3"/>
        <v>5099700</v>
      </c>
      <c r="K40" s="166">
        <v>212375</v>
      </c>
      <c r="L40" s="167">
        <f t="shared" si="11"/>
        <v>212375</v>
      </c>
      <c r="M40" s="166">
        <v>1721533.3333333335</v>
      </c>
      <c r="N40" s="167">
        <f t="shared" si="17"/>
        <v>1721533.3333333335</v>
      </c>
      <c r="O40" s="153"/>
      <c r="P40" s="154"/>
      <c r="Q40" s="166">
        <v>1529900</v>
      </c>
      <c r="R40" s="167">
        <f t="shared" ref="R40:R60" si="20">Q40*E40</f>
        <v>1529900</v>
      </c>
      <c r="S40" s="152"/>
      <c r="T40" s="153"/>
      <c r="U40" s="168">
        <f t="shared" si="13"/>
        <v>2344536.1111111115</v>
      </c>
      <c r="V40" s="167">
        <f t="shared" si="14"/>
        <v>212375</v>
      </c>
      <c r="W40" s="163">
        <f t="shared" si="15"/>
        <v>1721533.3333333335</v>
      </c>
      <c r="X40" s="169">
        <f t="shared" ref="X40:X60" si="21">GEOMEAN(J40,L40,N40)</f>
        <v>1230800.938957595</v>
      </c>
      <c r="Y40" s="170"/>
      <c r="Z40" s="171">
        <f>U40</f>
        <v>2344536.1111111115</v>
      </c>
    </row>
    <row r="41" spans="1:26" ht="27.75" customHeight="1" x14ac:dyDescent="0.15">
      <c r="A41" s="208">
        <v>35</v>
      </c>
      <c r="B41" s="161" t="s">
        <v>265</v>
      </c>
      <c r="C41" s="161" t="s">
        <v>94</v>
      </c>
      <c r="D41" s="162" t="s">
        <v>22</v>
      </c>
      <c r="E41" s="224">
        <v>1</v>
      </c>
      <c r="F41" s="160" t="s">
        <v>23</v>
      </c>
      <c r="G41" s="212">
        <v>814860</v>
      </c>
      <c r="H41" s="163">
        <f t="shared" si="10"/>
        <v>814860</v>
      </c>
      <c r="I41" s="176">
        <f>2175378*1.19</f>
        <v>2588699.8199999998</v>
      </c>
      <c r="J41" s="165">
        <f t="shared" si="3"/>
        <v>2588699.8199999998</v>
      </c>
      <c r="K41" s="166">
        <f>388550*1.19</f>
        <v>462374.5</v>
      </c>
      <c r="L41" s="167">
        <f t="shared" si="11"/>
        <v>462374.5</v>
      </c>
      <c r="M41" s="166">
        <f>867333.33*1.19</f>
        <v>1032126.6626999999</v>
      </c>
      <c r="N41" s="167">
        <f t="shared" si="17"/>
        <v>1032126.6626999999</v>
      </c>
      <c r="O41" s="153"/>
      <c r="P41" s="154"/>
      <c r="Q41" s="166">
        <v>926200</v>
      </c>
      <c r="R41" s="167">
        <f t="shared" si="20"/>
        <v>926200</v>
      </c>
      <c r="S41" s="152"/>
      <c r="T41" s="153"/>
      <c r="U41" s="168">
        <f t="shared" si="13"/>
        <v>1361066.9942333333</v>
      </c>
      <c r="V41" s="167">
        <f t="shared" si="14"/>
        <v>462374.5</v>
      </c>
      <c r="W41" s="163">
        <f t="shared" si="15"/>
        <v>1032126.6626999999</v>
      </c>
      <c r="X41" s="169">
        <f t="shared" si="21"/>
        <v>1073007.7410864823</v>
      </c>
      <c r="Y41" s="170"/>
      <c r="Z41" s="171">
        <f>U41</f>
        <v>1361066.9942333333</v>
      </c>
    </row>
    <row r="42" spans="1:26" ht="27.75" customHeight="1" x14ac:dyDescent="0.15">
      <c r="A42" s="208">
        <v>36</v>
      </c>
      <c r="B42" s="161" t="s">
        <v>95</v>
      </c>
      <c r="C42" s="161" t="s">
        <v>96</v>
      </c>
      <c r="D42" s="162" t="s">
        <v>22</v>
      </c>
      <c r="E42" s="224">
        <v>1</v>
      </c>
      <c r="F42" s="160" t="s">
        <v>23</v>
      </c>
      <c r="G42" s="212">
        <v>175915</v>
      </c>
      <c r="H42" s="163">
        <f t="shared" si="10"/>
        <v>175915</v>
      </c>
      <c r="I42" s="176">
        <f>398294*1.19</f>
        <v>473969.86</v>
      </c>
      <c r="J42" s="165">
        <f t="shared" si="3"/>
        <v>473969.86</v>
      </c>
      <c r="K42" s="166">
        <f>577626*1.19</f>
        <v>687374.94</v>
      </c>
      <c r="L42" s="167">
        <f t="shared" si="11"/>
        <v>687374.94</v>
      </c>
      <c r="M42" s="152"/>
      <c r="N42" s="153"/>
      <c r="O42" s="153"/>
      <c r="P42" s="154"/>
      <c r="Q42" s="166">
        <v>224000</v>
      </c>
      <c r="R42" s="167">
        <f t="shared" si="20"/>
        <v>224000</v>
      </c>
      <c r="S42" s="152"/>
      <c r="T42" s="153"/>
      <c r="U42" s="168">
        <f t="shared" si="13"/>
        <v>580672.39999999991</v>
      </c>
      <c r="V42" s="156">
        <f t="shared" si="14"/>
        <v>473969.86</v>
      </c>
      <c r="W42" s="163">
        <f t="shared" si="15"/>
        <v>580672.39999999991</v>
      </c>
      <c r="X42" s="169">
        <f t="shared" si="21"/>
        <v>570784.55136707088</v>
      </c>
      <c r="Y42" s="170"/>
      <c r="Z42" s="171">
        <f>U42</f>
        <v>580672.39999999991</v>
      </c>
    </row>
    <row r="43" spans="1:26" s="138" customFormat="1" ht="27.75" customHeight="1" x14ac:dyDescent="0.15">
      <c r="A43" s="208">
        <v>37</v>
      </c>
      <c r="B43" s="148" t="s">
        <v>269</v>
      </c>
      <c r="C43" s="178" t="s">
        <v>98</v>
      </c>
      <c r="D43" s="209" t="s">
        <v>107</v>
      </c>
      <c r="E43" s="224">
        <v>6</v>
      </c>
      <c r="F43" s="147" t="s">
        <v>23</v>
      </c>
      <c r="G43" s="212">
        <v>413474</v>
      </c>
      <c r="H43" s="163">
        <f t="shared" si="10"/>
        <v>2480844</v>
      </c>
      <c r="I43" s="176">
        <v>1011300</v>
      </c>
      <c r="J43" s="151">
        <f t="shared" si="3"/>
        <v>6067800</v>
      </c>
      <c r="K43" s="155">
        <v>421375</v>
      </c>
      <c r="L43" s="156">
        <f t="shared" si="11"/>
        <v>2528250</v>
      </c>
      <c r="M43" s="155">
        <v>95517.333333333343</v>
      </c>
      <c r="N43" s="156">
        <f t="shared" si="17"/>
        <v>573104</v>
      </c>
      <c r="O43" s="153"/>
      <c r="P43" s="154"/>
      <c r="Q43" s="155">
        <v>377600</v>
      </c>
      <c r="R43" s="167">
        <f t="shared" si="20"/>
        <v>2265600</v>
      </c>
      <c r="S43" s="152"/>
      <c r="T43" s="153"/>
      <c r="U43" s="168">
        <f t="shared" si="13"/>
        <v>3056384.6666666665</v>
      </c>
      <c r="V43" s="156">
        <f t="shared" si="14"/>
        <v>573104</v>
      </c>
      <c r="W43" s="147">
        <f t="shared" si="15"/>
        <v>2528250</v>
      </c>
      <c r="X43" s="157">
        <f t="shared" si="21"/>
        <v>2063929.7180283433</v>
      </c>
      <c r="Y43" s="174"/>
      <c r="Z43" s="159">
        <f>U43</f>
        <v>3056384.6666666665</v>
      </c>
    </row>
    <row r="44" spans="1:26" s="138" customFormat="1" ht="27.75" customHeight="1" x14ac:dyDescent="0.15">
      <c r="A44" s="208">
        <v>38</v>
      </c>
      <c r="B44" s="148" t="s">
        <v>267</v>
      </c>
      <c r="C44" s="178" t="s">
        <v>100</v>
      </c>
      <c r="D44" s="209" t="s">
        <v>107</v>
      </c>
      <c r="E44" s="224">
        <v>6</v>
      </c>
      <c r="F44" s="147" t="s">
        <v>23</v>
      </c>
      <c r="G44" s="212">
        <v>155269</v>
      </c>
      <c r="H44" s="163">
        <f t="shared" si="10"/>
        <v>931614</v>
      </c>
      <c r="I44" s="176">
        <v>398700</v>
      </c>
      <c r="J44" s="151">
        <f t="shared" si="3"/>
        <v>2392200</v>
      </c>
      <c r="K44" s="155">
        <v>112375</v>
      </c>
      <c r="L44" s="156">
        <f t="shared" si="11"/>
        <v>674250</v>
      </c>
      <c r="M44" s="155">
        <v>146766.66666666666</v>
      </c>
      <c r="N44" s="156">
        <f t="shared" si="17"/>
        <v>880600</v>
      </c>
      <c r="O44" s="153"/>
      <c r="P44" s="154"/>
      <c r="Q44" s="155">
        <v>100700</v>
      </c>
      <c r="R44" s="167">
        <f t="shared" si="20"/>
        <v>604200</v>
      </c>
      <c r="S44" s="152"/>
      <c r="T44" s="153"/>
      <c r="U44" s="156">
        <f t="shared" si="13"/>
        <v>1315683.3333333333</v>
      </c>
      <c r="V44" s="167">
        <f t="shared" si="14"/>
        <v>674250</v>
      </c>
      <c r="W44" s="147">
        <f t="shared" si="15"/>
        <v>880600</v>
      </c>
      <c r="X44" s="179">
        <f t="shared" si="21"/>
        <v>1124084.7106779141</v>
      </c>
      <c r="Y44" s="174"/>
      <c r="Z44" s="159">
        <f>X44</f>
        <v>1124084.7106779141</v>
      </c>
    </row>
    <row r="45" spans="1:26" ht="27.75" customHeight="1" x14ac:dyDescent="0.15">
      <c r="A45" s="208">
        <v>39</v>
      </c>
      <c r="B45" s="161" t="s">
        <v>271</v>
      </c>
      <c r="C45" s="161" t="s">
        <v>100</v>
      </c>
      <c r="D45" s="209" t="s">
        <v>107</v>
      </c>
      <c r="E45" s="224">
        <v>4</v>
      </c>
      <c r="F45" s="160" t="s">
        <v>23</v>
      </c>
      <c r="G45" s="213">
        <v>64617</v>
      </c>
      <c r="H45" s="163">
        <f t="shared" si="10"/>
        <v>258468</v>
      </c>
      <c r="I45" s="167">
        <v>130350</v>
      </c>
      <c r="J45" s="165">
        <f t="shared" si="3"/>
        <v>521400</v>
      </c>
      <c r="K45" s="166">
        <v>56250</v>
      </c>
      <c r="L45" s="167">
        <f t="shared" si="11"/>
        <v>225000</v>
      </c>
      <c r="M45" s="166">
        <v>53312</v>
      </c>
      <c r="N45" s="167">
        <f t="shared" si="17"/>
        <v>213248</v>
      </c>
      <c r="O45" s="153"/>
      <c r="P45" s="154"/>
      <c r="Q45" s="166">
        <v>55900</v>
      </c>
      <c r="R45" s="167">
        <f t="shared" si="20"/>
        <v>223600</v>
      </c>
      <c r="S45" s="152"/>
      <c r="T45" s="153"/>
      <c r="U45" s="156">
        <f t="shared" si="13"/>
        <v>319882.66666666669</v>
      </c>
      <c r="V45" s="168">
        <f t="shared" si="14"/>
        <v>213248</v>
      </c>
      <c r="W45" s="163">
        <f t="shared" si="15"/>
        <v>225000</v>
      </c>
      <c r="X45" s="169">
        <f t="shared" si="21"/>
        <v>292468.77352379868</v>
      </c>
      <c r="Y45" s="170"/>
      <c r="Z45" s="171">
        <f>V45</f>
        <v>213248</v>
      </c>
    </row>
    <row r="46" spans="1:26" s="138" customFormat="1" ht="27.75" customHeight="1" x14ac:dyDescent="0.15">
      <c r="A46" s="208">
        <v>40</v>
      </c>
      <c r="B46" s="148" t="s">
        <v>103</v>
      </c>
      <c r="C46" s="148" t="s">
        <v>104</v>
      </c>
      <c r="D46" s="209" t="s">
        <v>107</v>
      </c>
      <c r="E46" s="224">
        <v>2</v>
      </c>
      <c r="F46" s="147" t="s">
        <v>23</v>
      </c>
      <c r="G46" s="212">
        <v>180525</v>
      </c>
      <c r="H46" s="163">
        <f t="shared" si="10"/>
        <v>361050</v>
      </c>
      <c r="I46" s="176">
        <v>375000</v>
      </c>
      <c r="J46" s="151">
        <f t="shared" si="3"/>
        <v>750000</v>
      </c>
      <c r="K46" s="155">
        <v>121500</v>
      </c>
      <c r="L46" s="156">
        <f t="shared" si="11"/>
        <v>243000</v>
      </c>
      <c r="M46" s="152"/>
      <c r="N46" s="153"/>
      <c r="O46" s="153"/>
      <c r="P46" s="154"/>
      <c r="Q46" s="155">
        <v>156800</v>
      </c>
      <c r="R46" s="167">
        <f t="shared" si="20"/>
        <v>313600</v>
      </c>
      <c r="S46" s="152"/>
      <c r="T46" s="153"/>
      <c r="U46" s="156">
        <f t="shared" si="13"/>
        <v>496500</v>
      </c>
      <c r="V46" s="168">
        <f t="shared" si="14"/>
        <v>243000</v>
      </c>
      <c r="W46" s="147">
        <f t="shared" si="15"/>
        <v>496500</v>
      </c>
      <c r="X46" s="157">
        <f t="shared" si="21"/>
        <v>426907.4841227312</v>
      </c>
      <c r="Y46" s="174"/>
      <c r="Z46" s="159">
        <f>V46</f>
        <v>243000</v>
      </c>
    </row>
    <row r="47" spans="1:26" s="138" customFormat="1" ht="27.75" customHeight="1" x14ac:dyDescent="0.15">
      <c r="A47" s="208">
        <v>41</v>
      </c>
      <c r="B47" s="148" t="s">
        <v>311</v>
      </c>
      <c r="C47" s="148" t="s">
        <v>106</v>
      </c>
      <c r="D47" s="149" t="s">
        <v>107</v>
      </c>
      <c r="E47" s="224">
        <v>2</v>
      </c>
      <c r="F47" s="147" t="s">
        <v>23</v>
      </c>
      <c r="G47" s="212">
        <v>300005</v>
      </c>
      <c r="H47" s="163">
        <f t="shared" si="10"/>
        <v>600010</v>
      </c>
      <c r="I47" s="164">
        <v>161700</v>
      </c>
      <c r="J47" s="151">
        <f t="shared" si="3"/>
        <v>323400</v>
      </c>
      <c r="K47" s="155">
        <v>67375</v>
      </c>
      <c r="L47" s="156">
        <f t="shared" si="11"/>
        <v>134750</v>
      </c>
      <c r="M47" s="152"/>
      <c r="N47" s="153"/>
      <c r="O47" s="153"/>
      <c r="P47" s="154"/>
      <c r="Q47" s="155">
        <v>243800</v>
      </c>
      <c r="R47" s="167">
        <f t="shared" si="20"/>
        <v>487600</v>
      </c>
      <c r="S47" s="152"/>
      <c r="T47" s="153"/>
      <c r="U47" s="156">
        <f t="shared" si="13"/>
        <v>229075</v>
      </c>
      <c r="V47" s="168">
        <f t="shared" si="14"/>
        <v>134750</v>
      </c>
      <c r="W47" s="147">
        <f t="shared" si="15"/>
        <v>229075</v>
      </c>
      <c r="X47" s="157">
        <f t="shared" si="21"/>
        <v>208753.80236057978</v>
      </c>
      <c r="Y47" s="174"/>
      <c r="Z47" s="159">
        <f>V47</f>
        <v>134750</v>
      </c>
    </row>
    <row r="48" spans="1:26" ht="27.75" customHeight="1" x14ac:dyDescent="0.15">
      <c r="A48" s="208">
        <v>42</v>
      </c>
      <c r="B48" s="161" t="s">
        <v>108</v>
      </c>
      <c r="C48" s="161" t="s">
        <v>109</v>
      </c>
      <c r="D48" s="162" t="s">
        <v>107</v>
      </c>
      <c r="E48" s="224">
        <v>3</v>
      </c>
      <c r="F48" s="160" t="s">
        <v>23</v>
      </c>
      <c r="G48" s="212">
        <v>42656</v>
      </c>
      <c r="H48" s="163">
        <f t="shared" si="10"/>
        <v>127968</v>
      </c>
      <c r="I48" s="176">
        <v>149700</v>
      </c>
      <c r="J48" s="165">
        <f t="shared" si="3"/>
        <v>449100</v>
      </c>
      <c r="K48" s="166">
        <v>62375</v>
      </c>
      <c r="L48" s="167">
        <f t="shared" si="11"/>
        <v>187125</v>
      </c>
      <c r="M48" s="166">
        <v>50138.666666666672</v>
      </c>
      <c r="N48" s="167">
        <f t="shared" si="17"/>
        <v>150416</v>
      </c>
      <c r="O48" s="153"/>
      <c r="P48" s="154"/>
      <c r="Q48" s="166">
        <v>55900</v>
      </c>
      <c r="R48" s="167">
        <f t="shared" si="20"/>
        <v>167700</v>
      </c>
      <c r="S48" s="152"/>
      <c r="T48" s="153"/>
      <c r="U48" s="156">
        <f t="shared" si="13"/>
        <v>262213.66666666669</v>
      </c>
      <c r="V48" s="168">
        <f t="shared" si="14"/>
        <v>150416</v>
      </c>
      <c r="W48" s="163">
        <f t="shared" si="15"/>
        <v>187125</v>
      </c>
      <c r="X48" s="169">
        <f t="shared" si="21"/>
        <v>232946.55988823139</v>
      </c>
      <c r="Y48" s="170"/>
      <c r="Z48" s="171">
        <f>V48</f>
        <v>150416</v>
      </c>
    </row>
    <row r="49" spans="1:26" s="138" customFormat="1" ht="27.75" customHeight="1" x14ac:dyDescent="0.15">
      <c r="A49" s="208">
        <v>43</v>
      </c>
      <c r="B49" s="148" t="s">
        <v>110</v>
      </c>
      <c r="C49" s="148" t="s">
        <v>111</v>
      </c>
      <c r="D49" s="209" t="s">
        <v>81</v>
      </c>
      <c r="E49" s="224">
        <v>1</v>
      </c>
      <c r="F49" s="147" t="s">
        <v>23</v>
      </c>
      <c r="G49" s="212">
        <v>413474</v>
      </c>
      <c r="H49" s="163">
        <f t="shared" si="10"/>
        <v>413474</v>
      </c>
      <c r="I49" s="156">
        <v>464700</v>
      </c>
      <c r="J49" s="151">
        <f t="shared" si="3"/>
        <v>464700</v>
      </c>
      <c r="K49" s="155">
        <v>216875.00000000003</v>
      </c>
      <c r="L49" s="156">
        <f t="shared" si="11"/>
        <v>216875.00000000003</v>
      </c>
      <c r="M49" s="155">
        <v>120745.33333333334</v>
      </c>
      <c r="N49" s="156">
        <f t="shared" si="17"/>
        <v>120745.33333333334</v>
      </c>
      <c r="O49" s="153"/>
      <c r="P49" s="154"/>
      <c r="Q49" s="155">
        <v>377600</v>
      </c>
      <c r="R49" s="167">
        <f t="shared" si="20"/>
        <v>377600</v>
      </c>
      <c r="S49" s="152"/>
      <c r="T49" s="153"/>
      <c r="U49" s="168">
        <f t="shared" si="13"/>
        <v>267440.11111111112</v>
      </c>
      <c r="V49" s="167">
        <f t="shared" si="14"/>
        <v>120745.33333333334</v>
      </c>
      <c r="W49" s="147">
        <f t="shared" si="15"/>
        <v>216875.00000000003</v>
      </c>
      <c r="X49" s="157">
        <f t="shared" si="21"/>
        <v>230012.18299832789</v>
      </c>
      <c r="Y49" s="174"/>
      <c r="Z49" s="159">
        <f>U49</f>
        <v>267440.11111111112</v>
      </c>
    </row>
    <row r="50" spans="1:26" s="138" customFormat="1" ht="27.75" customHeight="1" x14ac:dyDescent="0.15">
      <c r="A50" s="208">
        <v>44</v>
      </c>
      <c r="B50" s="148" t="s">
        <v>112</v>
      </c>
      <c r="C50" s="148" t="s">
        <v>113</v>
      </c>
      <c r="D50" s="209" t="s">
        <v>81</v>
      </c>
      <c r="E50" s="224">
        <v>1</v>
      </c>
      <c r="F50" s="147" t="s">
        <v>23</v>
      </c>
      <c r="G50" s="212">
        <v>179369</v>
      </c>
      <c r="H50" s="163">
        <f t="shared" si="10"/>
        <v>179369</v>
      </c>
      <c r="I50" s="176">
        <v>717000.00000000012</v>
      </c>
      <c r="J50" s="151">
        <f t="shared" si="3"/>
        <v>717000.00000000012</v>
      </c>
      <c r="K50" s="155">
        <v>166125</v>
      </c>
      <c r="L50" s="156">
        <f t="shared" si="11"/>
        <v>166125</v>
      </c>
      <c r="M50" s="155">
        <v>140420</v>
      </c>
      <c r="N50" s="156">
        <f t="shared" si="17"/>
        <v>140420</v>
      </c>
      <c r="O50" s="153"/>
      <c r="P50" s="154"/>
      <c r="Q50" s="155">
        <v>148900</v>
      </c>
      <c r="R50" s="167">
        <f t="shared" si="20"/>
        <v>148900</v>
      </c>
      <c r="S50" s="152"/>
      <c r="T50" s="153"/>
      <c r="U50" s="156">
        <f t="shared" si="13"/>
        <v>341181.66666666669</v>
      </c>
      <c r="V50" s="167">
        <f t="shared" si="14"/>
        <v>140420</v>
      </c>
      <c r="W50" s="172">
        <f t="shared" si="15"/>
        <v>166125</v>
      </c>
      <c r="X50" s="157">
        <f t="shared" si="21"/>
        <v>255737.47492718115</v>
      </c>
      <c r="Y50" s="174"/>
      <c r="Z50" s="159">
        <f>W50</f>
        <v>166125</v>
      </c>
    </row>
    <row r="51" spans="1:26" ht="27.75" customHeight="1" x14ac:dyDescent="0.15">
      <c r="A51" s="208">
        <v>45</v>
      </c>
      <c r="B51" s="161" t="s">
        <v>114</v>
      </c>
      <c r="C51" s="161" t="s">
        <v>115</v>
      </c>
      <c r="D51" s="209" t="s">
        <v>81</v>
      </c>
      <c r="E51" s="224">
        <v>2</v>
      </c>
      <c r="F51" s="160" t="s">
        <v>23</v>
      </c>
      <c r="G51" s="212">
        <v>283347</v>
      </c>
      <c r="H51" s="163">
        <f t="shared" si="10"/>
        <v>566694</v>
      </c>
      <c r="I51" s="164">
        <v>82500</v>
      </c>
      <c r="J51" s="165">
        <f t="shared" si="3"/>
        <v>165000</v>
      </c>
      <c r="K51" s="166">
        <v>254875</v>
      </c>
      <c r="L51" s="167">
        <f t="shared" si="11"/>
        <v>509750</v>
      </c>
      <c r="M51" s="152"/>
      <c r="N51" s="153"/>
      <c r="O51" s="153"/>
      <c r="P51" s="154"/>
      <c r="Q51" s="166">
        <v>105910</v>
      </c>
      <c r="R51" s="167">
        <f t="shared" si="20"/>
        <v>211820</v>
      </c>
      <c r="S51" s="152"/>
      <c r="T51" s="153"/>
      <c r="U51" s="156">
        <f t="shared" si="13"/>
        <v>337375</v>
      </c>
      <c r="V51" s="167">
        <f t="shared" si="14"/>
        <v>165000</v>
      </c>
      <c r="W51" s="163">
        <f t="shared" si="15"/>
        <v>337375</v>
      </c>
      <c r="X51" s="179">
        <f t="shared" si="21"/>
        <v>290015.08581451414</v>
      </c>
      <c r="Y51" s="170"/>
      <c r="Z51" s="171">
        <f>X51</f>
        <v>290015.08581451414</v>
      </c>
    </row>
    <row r="52" spans="1:26" ht="27.75" customHeight="1" x14ac:dyDescent="0.15">
      <c r="A52" s="208">
        <v>46</v>
      </c>
      <c r="B52" s="161" t="s">
        <v>274</v>
      </c>
      <c r="C52" s="161" t="s">
        <v>117</v>
      </c>
      <c r="D52" s="209" t="s">
        <v>81</v>
      </c>
      <c r="E52" s="224">
        <v>8</v>
      </c>
      <c r="F52" s="160" t="s">
        <v>23</v>
      </c>
      <c r="G52" s="212">
        <v>1564412</v>
      </c>
      <c r="H52" s="163">
        <f t="shared" si="10"/>
        <v>12515296</v>
      </c>
      <c r="I52" s="167">
        <v>1439700</v>
      </c>
      <c r="J52" s="165">
        <f t="shared" si="3"/>
        <v>11517600</v>
      </c>
      <c r="K52" s="166">
        <v>999875.00000000012</v>
      </c>
      <c r="L52" s="167">
        <f t="shared" si="11"/>
        <v>7999000.0000000009</v>
      </c>
      <c r="M52" s="166">
        <v>769850.66666666674</v>
      </c>
      <c r="N52" s="167">
        <f t="shared" si="17"/>
        <v>6158805.333333334</v>
      </c>
      <c r="O52" s="153"/>
      <c r="P52" s="154"/>
      <c r="Q52" s="166">
        <v>1495100</v>
      </c>
      <c r="R52" s="167">
        <f t="shared" si="20"/>
        <v>11960800</v>
      </c>
      <c r="S52" s="152"/>
      <c r="T52" s="153"/>
      <c r="U52" s="156">
        <f t="shared" si="13"/>
        <v>8558468.4444444459</v>
      </c>
      <c r="V52" s="167">
        <f t="shared" si="14"/>
        <v>6158805.333333334</v>
      </c>
      <c r="W52" s="163">
        <f t="shared" si="15"/>
        <v>7999000.0000000009</v>
      </c>
      <c r="X52" s="169">
        <f t="shared" si="21"/>
        <v>8278749.1196608134</v>
      </c>
      <c r="Y52" s="172">
        <f>R52</f>
        <v>11960800</v>
      </c>
      <c r="Z52" s="171">
        <f>Y52</f>
        <v>11960800</v>
      </c>
    </row>
    <row r="53" spans="1:26" ht="27.75" customHeight="1" x14ac:dyDescent="0.15">
      <c r="A53" s="208">
        <v>47</v>
      </c>
      <c r="B53" s="161" t="s">
        <v>118</v>
      </c>
      <c r="C53" s="161" t="s">
        <v>119</v>
      </c>
      <c r="D53" s="209" t="s">
        <v>22</v>
      </c>
      <c r="E53" s="224">
        <v>4</v>
      </c>
      <c r="F53" s="160" t="s">
        <v>23</v>
      </c>
      <c r="G53" s="212">
        <v>241667</v>
      </c>
      <c r="H53" s="163">
        <f t="shared" si="10"/>
        <v>966668</v>
      </c>
      <c r="I53" s="176">
        <v>599700</v>
      </c>
      <c r="J53" s="165">
        <f t="shared" si="3"/>
        <v>2398800</v>
      </c>
      <c r="K53" s="166">
        <v>432375</v>
      </c>
      <c r="L53" s="167">
        <f t="shared" si="11"/>
        <v>1729500</v>
      </c>
      <c r="M53" s="166">
        <v>135660</v>
      </c>
      <c r="N53" s="167">
        <f t="shared" si="17"/>
        <v>542640</v>
      </c>
      <c r="O53" s="153"/>
      <c r="P53" s="154"/>
      <c r="Q53" s="166">
        <v>156700</v>
      </c>
      <c r="R53" s="167">
        <f t="shared" si="20"/>
        <v>626800</v>
      </c>
      <c r="S53" s="152"/>
      <c r="T53" s="153"/>
      <c r="U53" s="156">
        <f t="shared" si="13"/>
        <v>1556980</v>
      </c>
      <c r="V53" s="167">
        <f t="shared" si="14"/>
        <v>542640</v>
      </c>
      <c r="W53" s="172">
        <f t="shared" si="15"/>
        <v>1729500</v>
      </c>
      <c r="X53" s="157">
        <f t="shared" si="21"/>
        <v>1310616.0140978382</v>
      </c>
      <c r="Y53" s="170"/>
      <c r="Z53" s="171">
        <f>W53</f>
        <v>1729500</v>
      </c>
    </row>
    <row r="54" spans="1:26" ht="27.75" customHeight="1" x14ac:dyDescent="0.15">
      <c r="A54" s="208">
        <v>48</v>
      </c>
      <c r="B54" s="161" t="s">
        <v>289</v>
      </c>
      <c r="C54" s="175" t="s">
        <v>121</v>
      </c>
      <c r="D54" s="162" t="s">
        <v>22</v>
      </c>
      <c r="E54" s="224">
        <v>2</v>
      </c>
      <c r="F54" s="160" t="s">
        <v>23</v>
      </c>
      <c r="G54" s="212">
        <v>220020</v>
      </c>
      <c r="H54" s="163">
        <f t="shared" si="10"/>
        <v>440040</v>
      </c>
      <c r="I54" s="164">
        <v>99450.000000000015</v>
      </c>
      <c r="J54" s="165">
        <f t="shared" si="3"/>
        <v>198900.00000000003</v>
      </c>
      <c r="K54" s="166">
        <v>378291.25</v>
      </c>
      <c r="L54" s="167">
        <f t="shared" si="11"/>
        <v>756582.5</v>
      </c>
      <c r="M54" s="166">
        <v>90043.333333333343</v>
      </c>
      <c r="N54" s="167">
        <f t="shared" si="17"/>
        <v>180086.66666666669</v>
      </c>
      <c r="O54" s="153"/>
      <c r="P54" s="154"/>
      <c r="Q54" s="166">
        <v>385300</v>
      </c>
      <c r="R54" s="167">
        <f t="shared" si="20"/>
        <v>770600</v>
      </c>
      <c r="S54" s="152"/>
      <c r="T54" s="153"/>
      <c r="U54" s="156">
        <f t="shared" si="13"/>
        <v>378523.05555555556</v>
      </c>
      <c r="V54" s="167">
        <f t="shared" si="14"/>
        <v>180086.66666666669</v>
      </c>
      <c r="W54" s="163">
        <f t="shared" si="15"/>
        <v>198900.00000000003</v>
      </c>
      <c r="X54" s="169">
        <f t="shared" si="21"/>
        <v>300370.68487648264</v>
      </c>
      <c r="Y54" s="172">
        <f>R54</f>
        <v>770600</v>
      </c>
      <c r="Z54" s="171">
        <f>Y54</f>
        <v>770600</v>
      </c>
    </row>
    <row r="55" spans="1:26" ht="27.75" customHeight="1" x14ac:dyDescent="0.15">
      <c r="A55" s="208">
        <v>49</v>
      </c>
      <c r="B55" s="161" t="s">
        <v>122</v>
      </c>
      <c r="C55" s="161" t="s">
        <v>123</v>
      </c>
      <c r="D55" s="162" t="s">
        <v>22</v>
      </c>
      <c r="E55" s="224">
        <v>3</v>
      </c>
      <c r="F55" s="160" t="s">
        <v>23</v>
      </c>
      <c r="G55" s="212">
        <v>291660</v>
      </c>
      <c r="H55" s="163">
        <f t="shared" si="10"/>
        <v>874980</v>
      </c>
      <c r="I55" s="176">
        <v>520875</v>
      </c>
      <c r="J55" s="165">
        <f t="shared" si="3"/>
        <v>1562625</v>
      </c>
      <c r="K55" s="166">
        <v>599875</v>
      </c>
      <c r="L55" s="167">
        <f t="shared" si="11"/>
        <v>1799625</v>
      </c>
      <c r="M55" s="166">
        <v>205632</v>
      </c>
      <c r="N55" s="167">
        <f t="shared" si="17"/>
        <v>616896</v>
      </c>
      <c r="O55" s="153"/>
      <c r="P55" s="154"/>
      <c r="Q55" s="166">
        <v>291000</v>
      </c>
      <c r="R55" s="167">
        <f t="shared" si="20"/>
        <v>873000</v>
      </c>
      <c r="S55" s="152"/>
      <c r="T55" s="153"/>
      <c r="U55" s="156">
        <f t="shared" si="13"/>
        <v>1326382</v>
      </c>
      <c r="V55" s="167">
        <f t="shared" si="14"/>
        <v>616896</v>
      </c>
      <c r="W55" s="163">
        <f t="shared" si="15"/>
        <v>1562625</v>
      </c>
      <c r="X55" s="169">
        <f t="shared" si="21"/>
        <v>1201571.3928036026</v>
      </c>
      <c r="Y55" s="172">
        <f>R55</f>
        <v>873000</v>
      </c>
      <c r="Z55" s="171">
        <f>Y55</f>
        <v>873000</v>
      </c>
    </row>
    <row r="56" spans="1:26" ht="27.75" customHeight="1" x14ac:dyDescent="0.15">
      <c r="A56" s="208">
        <v>50</v>
      </c>
      <c r="B56" s="161" t="s">
        <v>124</v>
      </c>
      <c r="C56" s="161" t="s">
        <v>125</v>
      </c>
      <c r="D56" s="162" t="s">
        <v>22</v>
      </c>
      <c r="E56" s="224">
        <v>2</v>
      </c>
      <c r="F56" s="160" t="s">
        <v>23</v>
      </c>
      <c r="G56" s="212">
        <v>691886</v>
      </c>
      <c r="H56" s="163">
        <f t="shared" si="10"/>
        <v>1383772</v>
      </c>
      <c r="I56" s="176">
        <v>1760700</v>
      </c>
      <c r="J56" s="165">
        <f t="shared" si="3"/>
        <v>3521400</v>
      </c>
      <c r="K56" s="166">
        <v>623625</v>
      </c>
      <c r="L56" s="167">
        <f t="shared" si="11"/>
        <v>1247250</v>
      </c>
      <c r="M56" s="166">
        <v>341926.66666666663</v>
      </c>
      <c r="N56" s="167">
        <f t="shared" si="17"/>
        <v>683853.33333333326</v>
      </c>
      <c r="O56" s="153"/>
      <c r="P56" s="154"/>
      <c r="Q56" s="166">
        <v>1672200</v>
      </c>
      <c r="R56" s="167">
        <f t="shared" si="20"/>
        <v>3344400</v>
      </c>
      <c r="S56" s="152"/>
      <c r="T56" s="153"/>
      <c r="U56" s="168">
        <f t="shared" si="13"/>
        <v>1817501.111111111</v>
      </c>
      <c r="V56" s="167">
        <f t="shared" si="14"/>
        <v>683853.33333333326</v>
      </c>
      <c r="W56" s="163">
        <f t="shared" si="15"/>
        <v>1247250</v>
      </c>
      <c r="X56" s="169">
        <f t="shared" si="21"/>
        <v>1442814.8830994782</v>
      </c>
      <c r="Y56" s="170"/>
      <c r="Z56" s="171">
        <f>U56</f>
        <v>1817501.111111111</v>
      </c>
    </row>
    <row r="57" spans="1:26" ht="27.75" customHeight="1" x14ac:dyDescent="0.15">
      <c r="A57" s="208">
        <v>51</v>
      </c>
      <c r="B57" s="161" t="s">
        <v>126</v>
      </c>
      <c r="C57" s="161" t="s">
        <v>127</v>
      </c>
      <c r="D57" s="162" t="s">
        <v>22</v>
      </c>
      <c r="E57" s="224">
        <v>1</v>
      </c>
      <c r="F57" s="160" t="s">
        <v>23</v>
      </c>
      <c r="G57" s="212">
        <v>3979511</v>
      </c>
      <c r="H57" s="163">
        <f t="shared" si="10"/>
        <v>3979511</v>
      </c>
      <c r="I57" s="164">
        <v>113700</v>
      </c>
      <c r="J57" s="165">
        <f t="shared" si="3"/>
        <v>113700</v>
      </c>
      <c r="K57" s="166">
        <v>14375</v>
      </c>
      <c r="L57" s="167">
        <f t="shared" si="11"/>
        <v>14375</v>
      </c>
      <c r="M57" s="152"/>
      <c r="N57" s="153"/>
      <c r="O57" s="153"/>
      <c r="P57" s="154"/>
      <c r="Q57" s="166">
        <v>3236800</v>
      </c>
      <c r="R57" s="167">
        <f t="shared" si="20"/>
        <v>3236800</v>
      </c>
      <c r="S57" s="152"/>
      <c r="T57" s="153"/>
      <c r="U57" s="156">
        <f t="shared" si="13"/>
        <v>64037.5</v>
      </c>
      <c r="V57" s="167">
        <f t="shared" si="14"/>
        <v>14375</v>
      </c>
      <c r="W57" s="163">
        <f t="shared" si="15"/>
        <v>64037.5</v>
      </c>
      <c r="X57" s="169">
        <f t="shared" si="21"/>
        <v>40428.17705511838</v>
      </c>
      <c r="Y57" s="172">
        <f>R58</f>
        <v>1937400</v>
      </c>
      <c r="Z57" s="171">
        <f>Y57</f>
        <v>1937400</v>
      </c>
    </row>
    <row r="58" spans="1:26" ht="27.75" customHeight="1" x14ac:dyDescent="0.15">
      <c r="A58" s="208">
        <v>52</v>
      </c>
      <c r="B58" s="161" t="s">
        <v>128</v>
      </c>
      <c r="C58" s="161" t="s">
        <v>129</v>
      </c>
      <c r="D58" s="162" t="s">
        <v>81</v>
      </c>
      <c r="E58" s="224">
        <v>2</v>
      </c>
      <c r="F58" s="160" t="s">
        <v>23</v>
      </c>
      <c r="G58" s="212">
        <v>994971</v>
      </c>
      <c r="H58" s="163">
        <f t="shared" si="10"/>
        <v>1989942</v>
      </c>
      <c r="I58" s="176">
        <v>8067000.0000000009</v>
      </c>
      <c r="J58" s="165">
        <f t="shared" si="3"/>
        <v>16134000.000000002</v>
      </c>
      <c r="K58" s="166">
        <v>724875</v>
      </c>
      <c r="L58" s="167">
        <f t="shared" si="11"/>
        <v>1449750</v>
      </c>
      <c r="M58" s="152"/>
      <c r="N58" s="153"/>
      <c r="O58" s="153"/>
      <c r="P58" s="154"/>
      <c r="Q58" s="166">
        <v>968700</v>
      </c>
      <c r="R58" s="167">
        <f t="shared" si="20"/>
        <v>1937400</v>
      </c>
      <c r="S58" s="152"/>
      <c r="T58" s="153"/>
      <c r="U58" s="156">
        <f t="shared" si="13"/>
        <v>8791875</v>
      </c>
      <c r="V58" s="167">
        <f t="shared" si="14"/>
        <v>1449750</v>
      </c>
      <c r="W58" s="163">
        <f t="shared" si="15"/>
        <v>8791875</v>
      </c>
      <c r="X58" s="169">
        <f t="shared" si="21"/>
        <v>4836348.4675941216</v>
      </c>
      <c r="Y58" s="172">
        <f>R58</f>
        <v>1937400</v>
      </c>
      <c r="Z58" s="171">
        <f>Y58</f>
        <v>1937400</v>
      </c>
    </row>
    <row r="59" spans="1:26" ht="27.75" customHeight="1" x14ac:dyDescent="0.15">
      <c r="A59" s="208">
        <v>53</v>
      </c>
      <c r="B59" s="161" t="s">
        <v>130</v>
      </c>
      <c r="C59" s="161" t="s">
        <v>131</v>
      </c>
      <c r="D59" s="162" t="s">
        <v>22</v>
      </c>
      <c r="E59" s="224">
        <v>3</v>
      </c>
      <c r="F59" s="160" t="s">
        <v>23</v>
      </c>
      <c r="G59" s="212">
        <v>245660</v>
      </c>
      <c r="H59" s="163">
        <f t="shared" si="10"/>
        <v>736980</v>
      </c>
      <c r="I59" s="176">
        <v>5999700</v>
      </c>
      <c r="J59" s="165">
        <f t="shared" si="3"/>
        <v>17999100</v>
      </c>
      <c r="K59" s="166">
        <v>762375.00000000012</v>
      </c>
      <c r="L59" s="167">
        <f t="shared" si="11"/>
        <v>2287125.0000000005</v>
      </c>
      <c r="M59" s="166">
        <v>770326.66666666674</v>
      </c>
      <c r="N59" s="167">
        <f t="shared" si="17"/>
        <v>2310980</v>
      </c>
      <c r="O59" s="153"/>
      <c r="P59" s="154"/>
      <c r="Q59" s="166">
        <v>266972</v>
      </c>
      <c r="R59" s="167">
        <f t="shared" si="20"/>
        <v>800916</v>
      </c>
      <c r="S59" s="152"/>
      <c r="T59" s="153"/>
      <c r="U59" s="156">
        <f t="shared" si="13"/>
        <v>7532401.666666667</v>
      </c>
      <c r="V59" s="167">
        <f t="shared" si="14"/>
        <v>2287125.0000000005</v>
      </c>
      <c r="W59" s="163">
        <f t="shared" si="15"/>
        <v>2310980</v>
      </c>
      <c r="X59" s="169">
        <f t="shared" si="21"/>
        <v>4565050.9179903828</v>
      </c>
      <c r="Y59" s="172">
        <f>R59</f>
        <v>800916</v>
      </c>
      <c r="Z59" s="171">
        <f>Y59</f>
        <v>800916</v>
      </c>
    </row>
    <row r="60" spans="1:26" ht="27.75" customHeight="1" x14ac:dyDescent="0.15">
      <c r="A60" s="208">
        <v>54</v>
      </c>
      <c r="B60" s="210" t="s">
        <v>294</v>
      </c>
      <c r="C60" s="161" t="s">
        <v>133</v>
      </c>
      <c r="D60" s="162" t="s">
        <v>22</v>
      </c>
      <c r="E60" s="224">
        <v>1</v>
      </c>
      <c r="F60" s="160" t="s">
        <v>23</v>
      </c>
      <c r="G60" s="212">
        <v>570100</v>
      </c>
      <c r="H60" s="163">
        <f t="shared" si="10"/>
        <v>570100</v>
      </c>
      <c r="I60" s="176">
        <v>2588700.0000000005</v>
      </c>
      <c r="J60" s="165">
        <f t="shared" si="3"/>
        <v>2588700.0000000005</v>
      </c>
      <c r="K60" s="166">
        <v>324875.00000000006</v>
      </c>
      <c r="L60" s="167">
        <f t="shared" si="11"/>
        <v>324875.00000000006</v>
      </c>
      <c r="M60" s="152"/>
      <c r="N60" s="153"/>
      <c r="O60" s="153"/>
      <c r="P60" s="154"/>
      <c r="Q60" s="166">
        <v>840000</v>
      </c>
      <c r="R60" s="167">
        <f t="shared" si="20"/>
        <v>840000</v>
      </c>
      <c r="S60" s="152"/>
      <c r="T60" s="153"/>
      <c r="U60" s="156">
        <f t="shared" si="13"/>
        <v>1456787.5000000002</v>
      </c>
      <c r="V60" s="167">
        <f t="shared" si="14"/>
        <v>324875.00000000006</v>
      </c>
      <c r="W60" s="163">
        <f t="shared" si="15"/>
        <v>1456787.5000000002</v>
      </c>
      <c r="X60" s="169">
        <f t="shared" si="21"/>
        <v>917062.65462071903</v>
      </c>
      <c r="Y60" s="172">
        <f>R60</f>
        <v>840000</v>
      </c>
      <c r="Z60" s="171">
        <f>Y60</f>
        <v>840000</v>
      </c>
    </row>
    <row r="61" spans="1:26" ht="27.75" customHeight="1" x14ac:dyDescent="0.15">
      <c r="A61" s="293" t="s">
        <v>134</v>
      </c>
      <c r="B61" s="294"/>
      <c r="C61" s="294"/>
      <c r="D61" s="294"/>
      <c r="E61" s="295"/>
      <c r="F61" s="218"/>
      <c r="G61" s="143"/>
      <c r="H61" s="143">
        <f t="shared" ref="H61:X61" si="22">SUM(H62:H63)</f>
        <v>2745850</v>
      </c>
      <c r="I61" s="143">
        <f t="shared" si="22"/>
        <v>5091189</v>
      </c>
      <c r="J61" s="143">
        <f t="shared" si="22"/>
        <v>5091189</v>
      </c>
      <c r="K61" s="143">
        <f t="shared" si="22"/>
        <v>2346983.3333333335</v>
      </c>
      <c r="L61" s="143">
        <f t="shared" si="22"/>
        <v>2346983.3333333335</v>
      </c>
      <c r="M61" s="143">
        <f t="shared" si="22"/>
        <v>362077.33333333337</v>
      </c>
      <c r="N61" s="143">
        <f t="shared" si="22"/>
        <v>362077.33333333337</v>
      </c>
      <c r="O61" s="143"/>
      <c r="P61" s="143"/>
      <c r="Q61" s="143"/>
      <c r="R61" s="143"/>
      <c r="S61" s="143"/>
      <c r="T61" s="143"/>
      <c r="U61" s="143">
        <f t="shared" si="22"/>
        <v>3131516.111111111</v>
      </c>
      <c r="V61" s="143">
        <f t="shared" si="22"/>
        <v>1459185.666666667</v>
      </c>
      <c r="W61" s="143">
        <f t="shared" si="22"/>
        <v>2844173.666666667</v>
      </c>
      <c r="X61" s="144">
        <f t="shared" si="22"/>
        <v>2622047.7912006909</v>
      </c>
      <c r="Y61" s="145"/>
      <c r="Z61" s="180">
        <f>SUM(Z62:Z63)</f>
        <v>2725100</v>
      </c>
    </row>
    <row r="62" spans="1:26" s="138" customFormat="1" ht="27.75" customHeight="1" x14ac:dyDescent="0.15">
      <c r="A62" s="208">
        <v>55</v>
      </c>
      <c r="B62" s="148" t="s">
        <v>135</v>
      </c>
      <c r="C62" s="148" t="s">
        <v>136</v>
      </c>
      <c r="D62" s="149" t="s">
        <v>22</v>
      </c>
      <c r="E62" s="224">
        <v>1</v>
      </c>
      <c r="F62" s="147" t="s">
        <v>31</v>
      </c>
      <c r="G62" s="212">
        <v>1445850</v>
      </c>
      <c r="H62" s="163">
        <f t="shared" ref="H62:H111" si="23">G62*E62</f>
        <v>1445850</v>
      </c>
      <c r="I62" s="176">
        <v>2091489</v>
      </c>
      <c r="J62" s="151">
        <f t="shared" si="3"/>
        <v>2091489</v>
      </c>
      <c r="K62" s="155">
        <v>1097108.3333333335</v>
      </c>
      <c r="L62" s="156">
        <f t="shared" ref="L62:L63" si="24">+K62*E62</f>
        <v>1097108.3333333335</v>
      </c>
      <c r="M62" s="152"/>
      <c r="N62" s="153"/>
      <c r="O62" s="156">
        <v>1463700</v>
      </c>
      <c r="P62" s="167">
        <f>O62*E62</f>
        <v>1463700</v>
      </c>
      <c r="Q62" s="152"/>
      <c r="R62" s="153"/>
      <c r="S62" s="155">
        <v>1428000</v>
      </c>
      <c r="T62" s="167">
        <f>S62*E62</f>
        <v>1428000</v>
      </c>
      <c r="U62" s="156">
        <f>AVERAGE(J62,L62,N62)</f>
        <v>1594298.6666666667</v>
      </c>
      <c r="V62" s="156">
        <f>+MIN(J62,L62,N62)</f>
        <v>1097108.3333333335</v>
      </c>
      <c r="W62" s="147">
        <f>MEDIAN(J62,L62,N62)</f>
        <v>1594298.6666666667</v>
      </c>
      <c r="X62" s="157">
        <f>GEOMEAN(J62,L62,N62)</f>
        <v>1514790.4181684675</v>
      </c>
      <c r="Y62" s="181">
        <f>(T62+P62)/2</f>
        <v>1445850</v>
      </c>
      <c r="Z62" s="159">
        <f>Y62</f>
        <v>1445850</v>
      </c>
    </row>
    <row r="63" spans="1:26" s="138" customFormat="1" ht="27.75" customHeight="1" x14ac:dyDescent="0.15">
      <c r="A63" s="208">
        <v>56</v>
      </c>
      <c r="B63" s="148" t="s">
        <v>307</v>
      </c>
      <c r="C63" s="148" t="s">
        <v>138</v>
      </c>
      <c r="D63" s="149" t="s">
        <v>22</v>
      </c>
      <c r="E63" s="224">
        <v>1</v>
      </c>
      <c r="F63" s="147" t="s">
        <v>31</v>
      </c>
      <c r="G63" s="212">
        <v>1300000</v>
      </c>
      <c r="H63" s="163">
        <f t="shared" si="23"/>
        <v>1300000</v>
      </c>
      <c r="I63" s="176">
        <v>2999700</v>
      </c>
      <c r="J63" s="151">
        <f t="shared" si="3"/>
        <v>2999700</v>
      </c>
      <c r="K63" s="155">
        <v>1249875</v>
      </c>
      <c r="L63" s="156">
        <f t="shared" si="24"/>
        <v>1249875</v>
      </c>
      <c r="M63" s="155">
        <v>362077.33333333337</v>
      </c>
      <c r="N63" s="156">
        <f t="shared" ref="N63" si="25">+M63*E63</f>
        <v>362077.33333333337</v>
      </c>
      <c r="O63" s="156">
        <v>1487500</v>
      </c>
      <c r="P63" s="167">
        <f>O63*E63</f>
        <v>1487500</v>
      </c>
      <c r="Q63" s="152"/>
      <c r="R63" s="153"/>
      <c r="S63" s="155">
        <v>1071000</v>
      </c>
      <c r="T63" s="167">
        <f>S63*E63</f>
        <v>1071000</v>
      </c>
      <c r="U63" s="156">
        <f>AVERAGE(J63,L63,N63)</f>
        <v>1537217.4444444443</v>
      </c>
      <c r="V63" s="156">
        <f>+MIN(J63,L63,N63)</f>
        <v>362077.33333333337</v>
      </c>
      <c r="W63" s="147">
        <f>MEDIAN(J63,L63,N63)</f>
        <v>1249875</v>
      </c>
      <c r="X63" s="157">
        <f>GEOMEAN(J63,L63,N63)</f>
        <v>1107257.3730322237</v>
      </c>
      <c r="Y63" s="181">
        <f>(T63+P63)/2</f>
        <v>1279250</v>
      </c>
      <c r="Z63" s="159">
        <f>Y63</f>
        <v>1279250</v>
      </c>
    </row>
    <row r="64" spans="1:26" ht="27.75" customHeight="1" x14ac:dyDescent="0.15">
      <c r="A64" s="293" t="s">
        <v>139</v>
      </c>
      <c r="B64" s="294"/>
      <c r="C64" s="294"/>
      <c r="D64" s="294"/>
      <c r="E64" s="295"/>
      <c r="F64" s="218"/>
      <c r="G64" s="143"/>
      <c r="H64" s="143">
        <f t="shared" ref="H64" si="26">+H65</f>
        <v>5664995</v>
      </c>
      <c r="I64" s="143">
        <f>+I65</f>
        <v>11144700</v>
      </c>
      <c r="J64" s="143">
        <f t="shared" ref="J64:X64" si="27">+J65</f>
        <v>11144700</v>
      </c>
      <c r="K64" s="143">
        <f t="shared" si="27"/>
        <v>4643625.1399999997</v>
      </c>
      <c r="L64" s="143">
        <f t="shared" si="27"/>
        <v>4643625.1399999997</v>
      </c>
      <c r="M64" s="143">
        <f t="shared" si="27"/>
        <v>0</v>
      </c>
      <c r="N64" s="143">
        <f t="shared" si="27"/>
        <v>0</v>
      </c>
      <c r="O64" s="143"/>
      <c r="P64" s="143"/>
      <c r="Q64" s="143"/>
      <c r="R64" s="143"/>
      <c r="S64" s="143"/>
      <c r="T64" s="143"/>
      <c r="U64" s="143">
        <f t="shared" si="27"/>
        <v>7894162.5700000003</v>
      </c>
      <c r="V64" s="143">
        <f t="shared" si="27"/>
        <v>4643625.1399999997</v>
      </c>
      <c r="W64" s="143">
        <f t="shared" si="27"/>
        <v>7894162.5700000003</v>
      </c>
      <c r="X64" s="144">
        <f t="shared" si="27"/>
        <v>7193873.0248564994</v>
      </c>
      <c r="Y64" s="145"/>
      <c r="Z64" s="182">
        <f>+Z65</f>
        <v>4643625.1399999997</v>
      </c>
    </row>
    <row r="65" spans="1:26" ht="27.75" customHeight="1" x14ac:dyDescent="0.15">
      <c r="A65" s="208">
        <v>57</v>
      </c>
      <c r="B65" s="161" t="s">
        <v>233</v>
      </c>
      <c r="C65" s="161" t="s">
        <v>141</v>
      </c>
      <c r="D65" s="162" t="s">
        <v>22</v>
      </c>
      <c r="E65" s="224">
        <v>1</v>
      </c>
      <c r="F65" s="160" t="s">
        <v>31</v>
      </c>
      <c r="G65" s="214">
        <v>5664995</v>
      </c>
      <c r="H65" s="163">
        <f t="shared" si="23"/>
        <v>5664995</v>
      </c>
      <c r="I65" s="176">
        <v>11144700</v>
      </c>
      <c r="J65" s="165">
        <f t="shared" ref="J65" si="28">+I65*E65</f>
        <v>11144700</v>
      </c>
      <c r="K65" s="166">
        <f>3902206*1.19</f>
        <v>4643625.1399999997</v>
      </c>
      <c r="L65" s="167">
        <f>+K65*E65</f>
        <v>4643625.1399999997</v>
      </c>
      <c r="M65" s="152"/>
      <c r="N65" s="153"/>
      <c r="O65" s="167">
        <v>6331990</v>
      </c>
      <c r="P65" s="167">
        <f>O65*E65</f>
        <v>6331990</v>
      </c>
      <c r="Q65" s="152"/>
      <c r="R65" s="153"/>
      <c r="S65" s="166">
        <v>4998000</v>
      </c>
      <c r="T65" s="167">
        <f>S65*E65</f>
        <v>4998000</v>
      </c>
      <c r="U65" s="156">
        <f>AVERAGE(J65,L65,N65)</f>
        <v>7894162.5700000003</v>
      </c>
      <c r="V65" s="167">
        <f>+MIN(J65,L65,N65)</f>
        <v>4643625.1399999997</v>
      </c>
      <c r="W65" s="163">
        <f>MEDIAN(J65,L65,N65)</f>
        <v>7894162.5700000003</v>
      </c>
      <c r="X65" s="169">
        <f>GEOMEAN(J65,L65,N65)</f>
        <v>7193873.0248564994</v>
      </c>
      <c r="Y65" s="172">
        <f>V65</f>
        <v>4643625.1399999997</v>
      </c>
      <c r="Z65" s="171">
        <f>Y65</f>
        <v>4643625.1399999997</v>
      </c>
    </row>
    <row r="66" spans="1:26" ht="27.75" customHeight="1" x14ac:dyDescent="0.15">
      <c r="A66" s="293" t="s">
        <v>142</v>
      </c>
      <c r="B66" s="294"/>
      <c r="C66" s="294"/>
      <c r="D66" s="294"/>
      <c r="E66" s="295"/>
      <c r="F66" s="218"/>
      <c r="G66" s="143"/>
      <c r="H66" s="143">
        <f t="shared" ref="H66:Z66" si="29">SUM(H67:H70)</f>
        <v>9184900</v>
      </c>
      <c r="I66" s="143">
        <f t="shared" si="29"/>
        <v>2992188</v>
      </c>
      <c r="J66" s="143">
        <f t="shared" si="29"/>
        <v>7504140</v>
      </c>
      <c r="K66" s="143">
        <f t="shared" si="29"/>
        <v>276972.1428571429</v>
      </c>
      <c r="L66" s="143">
        <f t="shared" si="29"/>
        <v>1059972.142857143</v>
      </c>
      <c r="M66" s="143">
        <f t="shared" si="29"/>
        <v>215310.66666666669</v>
      </c>
      <c r="N66" s="143">
        <f t="shared" si="29"/>
        <v>787780.00000000012</v>
      </c>
      <c r="O66" s="143"/>
      <c r="P66" s="143"/>
      <c r="Q66" s="143"/>
      <c r="R66" s="143"/>
      <c r="S66" s="143"/>
      <c r="T66" s="143"/>
      <c r="U66" s="143">
        <f t="shared" si="29"/>
        <v>3575184.8809523811</v>
      </c>
      <c r="V66" s="143">
        <f t="shared" si="29"/>
        <v>953058.80952380958</v>
      </c>
      <c r="W66" s="143">
        <f t="shared" si="29"/>
        <v>2268355.8333333335</v>
      </c>
      <c r="X66" s="144">
        <f t="shared" si="29"/>
        <v>2176934.5985831684</v>
      </c>
      <c r="Y66" s="143">
        <f t="shared" si="29"/>
        <v>9103500</v>
      </c>
      <c r="Z66" s="146">
        <f t="shared" si="29"/>
        <v>9103500</v>
      </c>
    </row>
    <row r="67" spans="1:26" ht="27.75" customHeight="1" x14ac:dyDescent="0.15">
      <c r="A67" s="208">
        <v>58</v>
      </c>
      <c r="B67" s="161" t="s">
        <v>143</v>
      </c>
      <c r="C67" s="161" t="s">
        <v>144</v>
      </c>
      <c r="D67" s="162" t="s">
        <v>22</v>
      </c>
      <c r="E67" s="224">
        <v>5</v>
      </c>
      <c r="F67" s="160" t="s">
        <v>31</v>
      </c>
      <c r="G67" s="214">
        <v>990000</v>
      </c>
      <c r="H67" s="163">
        <f t="shared" si="23"/>
        <v>4950000</v>
      </c>
      <c r="I67" s="164">
        <v>195000</v>
      </c>
      <c r="J67" s="165">
        <f t="shared" ref="J67:J70" si="30">+I67*E67</f>
        <v>975000</v>
      </c>
      <c r="K67" s="166">
        <v>31250</v>
      </c>
      <c r="L67" s="167">
        <f t="shared" ref="L67:L70" si="31">+K67*E67</f>
        <v>156250</v>
      </c>
      <c r="M67" s="152"/>
      <c r="N67" s="153"/>
      <c r="O67" s="167">
        <v>1013880</v>
      </c>
      <c r="P67" s="167">
        <f>O67*E67</f>
        <v>5069400</v>
      </c>
      <c r="Q67" s="152"/>
      <c r="R67" s="153"/>
      <c r="S67" s="166">
        <v>952000</v>
      </c>
      <c r="T67" s="167">
        <f>S67*E67</f>
        <v>4760000</v>
      </c>
      <c r="U67" s="156">
        <f>AVERAGE(J67,L67,N67)</f>
        <v>565625</v>
      </c>
      <c r="V67" s="167">
        <f>+MIN(J67,L67,N67)</f>
        <v>156250</v>
      </c>
      <c r="W67" s="163">
        <f>MEDIAN(J67,L67,N67)</f>
        <v>565625</v>
      </c>
      <c r="X67" s="169">
        <f>GEOMEAN(J67,L67,N67)</f>
        <v>390312.37489989988</v>
      </c>
      <c r="Y67" s="172">
        <f>(T67+P67)/2</f>
        <v>4914700</v>
      </c>
      <c r="Z67" s="171">
        <f>Y67</f>
        <v>4914700</v>
      </c>
    </row>
    <row r="68" spans="1:26" ht="27.75" customHeight="1" x14ac:dyDescent="0.15">
      <c r="A68" s="208">
        <v>59</v>
      </c>
      <c r="B68" s="161" t="s">
        <v>246</v>
      </c>
      <c r="C68" s="161" t="s">
        <v>146</v>
      </c>
      <c r="D68" s="162" t="s">
        <v>22</v>
      </c>
      <c r="E68" s="224">
        <v>1</v>
      </c>
      <c r="F68" s="160" t="s">
        <v>31</v>
      </c>
      <c r="G68" s="214">
        <v>1400630</v>
      </c>
      <c r="H68" s="163">
        <f t="shared" si="23"/>
        <v>1400630</v>
      </c>
      <c r="I68" s="164">
        <v>310500</v>
      </c>
      <c r="J68" s="165">
        <f t="shared" si="30"/>
        <v>310500</v>
      </c>
      <c r="K68" s="166">
        <v>18847.142857142859</v>
      </c>
      <c r="L68" s="167">
        <f t="shared" si="31"/>
        <v>18847.142857142859</v>
      </c>
      <c r="M68" s="166">
        <v>72193.333333333328</v>
      </c>
      <c r="N68" s="167">
        <f t="shared" ref="N68:N111" si="32">+M68*E68</f>
        <v>72193.333333333328</v>
      </c>
      <c r="O68" s="167">
        <v>1492260</v>
      </c>
      <c r="P68" s="167">
        <f>O68*E68</f>
        <v>1492260</v>
      </c>
      <c r="Q68" s="152"/>
      <c r="R68" s="153"/>
      <c r="S68" s="166">
        <v>1309000</v>
      </c>
      <c r="T68" s="167">
        <f>S68*E68</f>
        <v>1309000</v>
      </c>
      <c r="U68" s="156">
        <f>AVERAGE(J68,L68,N68)</f>
        <v>133846.82539682538</v>
      </c>
      <c r="V68" s="167">
        <f>+MIN(J68,L68,N68)</f>
        <v>18847.142857142859</v>
      </c>
      <c r="W68" s="163">
        <f>MEDIAN(J68,L68,N68)</f>
        <v>72193.333333333328</v>
      </c>
      <c r="X68" s="169">
        <f>GEOMEAN(J68,L68,N68)</f>
        <v>75035.723408472928</v>
      </c>
      <c r="Y68" s="172">
        <f>(T68+P68)/2</f>
        <v>1400630</v>
      </c>
      <c r="Z68" s="171">
        <f>Y68</f>
        <v>1400630</v>
      </c>
    </row>
    <row r="69" spans="1:26" ht="27.75" customHeight="1" x14ac:dyDescent="0.15">
      <c r="A69" s="208">
        <v>60</v>
      </c>
      <c r="B69" s="161" t="s">
        <v>147</v>
      </c>
      <c r="C69" s="161" t="s">
        <v>148</v>
      </c>
      <c r="D69" s="162" t="s">
        <v>22</v>
      </c>
      <c r="E69" s="224">
        <v>1</v>
      </c>
      <c r="F69" s="160" t="s">
        <v>31</v>
      </c>
      <c r="G69" s="214">
        <v>634270</v>
      </c>
      <c r="H69" s="163">
        <f t="shared" si="23"/>
        <v>634270</v>
      </c>
      <c r="I69" s="176">
        <v>1553700</v>
      </c>
      <c r="J69" s="165">
        <f t="shared" si="30"/>
        <v>1553700</v>
      </c>
      <c r="K69" s="166">
        <v>62375</v>
      </c>
      <c r="L69" s="167">
        <f t="shared" si="31"/>
        <v>62375</v>
      </c>
      <c r="M69" s="152"/>
      <c r="N69" s="153"/>
      <c r="O69" s="167">
        <v>887740</v>
      </c>
      <c r="P69" s="167">
        <f>O69*E69</f>
        <v>887740</v>
      </c>
      <c r="Q69" s="152"/>
      <c r="R69" s="153"/>
      <c r="S69" s="166">
        <v>380800</v>
      </c>
      <c r="T69" s="167">
        <f>S69*E69</f>
        <v>380800</v>
      </c>
      <c r="U69" s="156">
        <f>AVERAGE(J69,L69,N69)</f>
        <v>808037.5</v>
      </c>
      <c r="V69" s="167">
        <f>+MIN(J69,L69,N69)</f>
        <v>62375</v>
      </c>
      <c r="W69" s="163">
        <f>MEDIAN(J69,L69,N69)</f>
        <v>808037.5</v>
      </c>
      <c r="X69" s="169">
        <f>GEOMEAN(J69,L69,N69)</f>
        <v>311306.9827356913</v>
      </c>
      <c r="Y69" s="172">
        <f>(T69+P69)/2</f>
        <v>634270</v>
      </c>
      <c r="Z69" s="171">
        <f t="shared" ref="Z69:Z70" si="33">Y69</f>
        <v>634270</v>
      </c>
    </row>
    <row r="70" spans="1:26" ht="27.75" customHeight="1" x14ac:dyDescent="0.15">
      <c r="A70" s="208">
        <v>61</v>
      </c>
      <c r="B70" s="161" t="s">
        <v>149</v>
      </c>
      <c r="C70" s="161" t="s">
        <v>150</v>
      </c>
      <c r="D70" s="162" t="s">
        <v>22</v>
      </c>
      <c r="E70" s="224">
        <v>5</v>
      </c>
      <c r="F70" s="160" t="s">
        <v>31</v>
      </c>
      <c r="G70" s="214">
        <v>440000</v>
      </c>
      <c r="H70" s="163">
        <f t="shared" si="23"/>
        <v>2200000</v>
      </c>
      <c r="I70" s="176">
        <v>932988</v>
      </c>
      <c r="J70" s="165">
        <f t="shared" si="30"/>
        <v>4664940</v>
      </c>
      <c r="K70" s="166">
        <v>164500.00000000003</v>
      </c>
      <c r="L70" s="167">
        <f t="shared" si="31"/>
        <v>822500.00000000012</v>
      </c>
      <c r="M70" s="166">
        <v>143117.33333333334</v>
      </c>
      <c r="N70" s="167">
        <f t="shared" si="32"/>
        <v>715586.66666666674</v>
      </c>
      <c r="O70" s="167">
        <v>552160</v>
      </c>
      <c r="P70" s="167">
        <f>O70*E70</f>
        <v>2760800</v>
      </c>
      <c r="Q70" s="152"/>
      <c r="R70" s="153"/>
      <c r="S70" s="166">
        <v>309400</v>
      </c>
      <c r="T70" s="167">
        <f>S70*E70</f>
        <v>1547000</v>
      </c>
      <c r="U70" s="156">
        <f>AVERAGE(J70,L70,N70)</f>
        <v>2067675.5555555557</v>
      </c>
      <c r="V70" s="167">
        <f>+MIN(J70,L70,N70)</f>
        <v>715586.66666666674</v>
      </c>
      <c r="W70" s="163">
        <f>MEDIAN(J70,L70,N70)</f>
        <v>822500.00000000012</v>
      </c>
      <c r="X70" s="169">
        <f>GEOMEAN(J70,L70,N70)</f>
        <v>1400279.5175391042</v>
      </c>
      <c r="Y70" s="172">
        <f>(T70+P70)/2</f>
        <v>2153900</v>
      </c>
      <c r="Z70" s="171">
        <f t="shared" si="33"/>
        <v>2153900</v>
      </c>
    </row>
    <row r="71" spans="1:26" ht="27.75" customHeight="1" x14ac:dyDescent="0.15">
      <c r="A71" s="293" t="s">
        <v>151</v>
      </c>
      <c r="B71" s="294"/>
      <c r="C71" s="294"/>
      <c r="D71" s="294"/>
      <c r="E71" s="295"/>
      <c r="F71" s="218"/>
      <c r="G71" s="143"/>
      <c r="H71" s="143">
        <f t="shared" ref="H71" si="34">+H72</f>
        <v>31178000</v>
      </c>
      <c r="I71" s="143">
        <f>+I72</f>
        <v>6566.42</v>
      </c>
      <c r="J71" s="143">
        <f t="shared" ref="J71:X71" si="35">+J72</f>
        <v>6566.42</v>
      </c>
      <c r="K71" s="143">
        <f t="shared" si="35"/>
        <v>0</v>
      </c>
      <c r="L71" s="143">
        <f t="shared" si="35"/>
        <v>0</v>
      </c>
      <c r="M71" s="143">
        <f t="shared" si="35"/>
        <v>28905999.639999997</v>
      </c>
      <c r="N71" s="143">
        <f t="shared" si="35"/>
        <v>28905999.639999997</v>
      </c>
      <c r="O71" s="143"/>
      <c r="P71" s="143"/>
      <c r="Q71" s="143"/>
      <c r="R71" s="143"/>
      <c r="S71" s="143"/>
      <c r="T71" s="143"/>
      <c r="U71" s="143">
        <f t="shared" si="35"/>
        <v>14456283.029999999</v>
      </c>
      <c r="V71" s="143">
        <f t="shared" si="35"/>
        <v>6566.42</v>
      </c>
      <c r="W71" s="143">
        <f t="shared" si="35"/>
        <v>14456283.029999997</v>
      </c>
      <c r="X71" s="144">
        <f t="shared" si="35"/>
        <v>435670.67167309852</v>
      </c>
      <c r="Y71" s="145"/>
      <c r="Z71" s="146">
        <f>+Z72</f>
        <v>31178000</v>
      </c>
    </row>
    <row r="72" spans="1:26" s="138" customFormat="1" ht="27.75" customHeight="1" x14ac:dyDescent="0.15">
      <c r="A72" s="208">
        <v>62</v>
      </c>
      <c r="B72" s="148" t="s">
        <v>226</v>
      </c>
      <c r="C72" s="148" t="s">
        <v>153</v>
      </c>
      <c r="D72" s="149" t="s">
        <v>22</v>
      </c>
      <c r="E72" s="224">
        <v>1</v>
      </c>
      <c r="F72" s="147" t="s">
        <v>31</v>
      </c>
      <c r="G72" s="214">
        <v>31178000</v>
      </c>
      <c r="H72" s="163">
        <f t="shared" si="23"/>
        <v>31178000</v>
      </c>
      <c r="I72" s="164">
        <f>5518*1.19</f>
        <v>6566.42</v>
      </c>
      <c r="J72" s="151">
        <f t="shared" ref="J72" si="36">+I72*E72</f>
        <v>6566.42</v>
      </c>
      <c r="K72" s="152"/>
      <c r="L72" s="153"/>
      <c r="M72" s="155">
        <f>24290756*1.19</f>
        <v>28905999.639999997</v>
      </c>
      <c r="N72" s="156">
        <f t="shared" si="32"/>
        <v>28905999.639999997</v>
      </c>
      <c r="O72" s="156">
        <v>49266000</v>
      </c>
      <c r="P72" s="167">
        <f>O72*E72</f>
        <v>49266000</v>
      </c>
      <c r="Q72" s="152"/>
      <c r="R72" s="153"/>
      <c r="S72" s="155">
        <v>13090000</v>
      </c>
      <c r="T72" s="167">
        <f>S72*E72</f>
        <v>13090000</v>
      </c>
      <c r="U72" s="156">
        <f>AVERAGE(J72,L72,N72)</f>
        <v>14456283.029999999</v>
      </c>
      <c r="V72" s="156">
        <f>+MIN(J72,L72,N72)</f>
        <v>6566.42</v>
      </c>
      <c r="W72" s="147">
        <f>MEDIAN(J72,L72,N72)</f>
        <v>14456283.029999997</v>
      </c>
      <c r="X72" s="157">
        <f>GEOMEAN(J72,L72,N72)</f>
        <v>435670.67167309852</v>
      </c>
      <c r="Y72" s="172">
        <f>(T72+P72)/2</f>
        <v>31178000</v>
      </c>
      <c r="Z72" s="159">
        <f>Y72</f>
        <v>31178000</v>
      </c>
    </row>
    <row r="73" spans="1:26" ht="48" customHeight="1" x14ac:dyDescent="0.15">
      <c r="A73" s="293" t="s">
        <v>154</v>
      </c>
      <c r="B73" s="294"/>
      <c r="C73" s="294"/>
      <c r="D73" s="294"/>
      <c r="E73" s="295"/>
      <c r="F73" s="218"/>
      <c r="G73" s="143"/>
      <c r="H73" s="143">
        <f t="shared" ref="H73:X73" si="37">SUM(H74:H77)</f>
        <v>19865574</v>
      </c>
      <c r="I73" s="143">
        <f t="shared" si="37"/>
        <v>8244000</v>
      </c>
      <c r="J73" s="143">
        <f t="shared" si="37"/>
        <v>12903600</v>
      </c>
      <c r="K73" s="143">
        <f t="shared" si="37"/>
        <v>1794355</v>
      </c>
      <c r="L73" s="143">
        <f t="shared" si="37"/>
        <v>2294230</v>
      </c>
      <c r="M73" s="143">
        <f t="shared" si="37"/>
        <v>310193.33333333331</v>
      </c>
      <c r="N73" s="143">
        <f t="shared" si="37"/>
        <v>620386.66666666663</v>
      </c>
      <c r="O73" s="143"/>
      <c r="P73" s="143"/>
      <c r="Q73" s="143"/>
      <c r="R73" s="143"/>
      <c r="S73" s="143"/>
      <c r="T73" s="143"/>
      <c r="U73" s="143">
        <f t="shared" si="37"/>
        <v>7285735.555555556</v>
      </c>
      <c r="V73" s="143">
        <f t="shared" si="37"/>
        <v>3819786.6666666665</v>
      </c>
      <c r="W73" s="143">
        <f t="shared" si="37"/>
        <v>4639040</v>
      </c>
      <c r="X73" s="144">
        <f t="shared" si="37"/>
        <v>5351751.8593839696</v>
      </c>
      <c r="Y73" s="145"/>
      <c r="Z73" s="146">
        <f>SUM(Z74:Z77)</f>
        <v>19805100</v>
      </c>
    </row>
    <row r="74" spans="1:26" s="138" customFormat="1" ht="27.75" customHeight="1" thickBot="1" x14ac:dyDescent="0.2">
      <c r="A74" s="208">
        <v>63</v>
      </c>
      <c r="B74" s="148" t="s">
        <v>227</v>
      </c>
      <c r="C74" s="148" t="s">
        <v>156</v>
      </c>
      <c r="D74" s="149" t="s">
        <v>22</v>
      </c>
      <c r="E74" s="224">
        <v>1</v>
      </c>
      <c r="F74" s="147" t="s">
        <v>31</v>
      </c>
      <c r="G74" s="214">
        <v>16780000</v>
      </c>
      <c r="H74" s="163">
        <f t="shared" si="23"/>
        <v>16780000</v>
      </c>
      <c r="I74" s="183">
        <v>2399700</v>
      </c>
      <c r="J74" s="151">
        <f t="shared" ref="J74:J77" si="38">+I74*E74</f>
        <v>2399700</v>
      </c>
      <c r="K74" s="152"/>
      <c r="L74" s="153"/>
      <c r="M74" s="152"/>
      <c r="N74" s="153"/>
      <c r="O74" s="156">
        <v>18662770</v>
      </c>
      <c r="P74" s="167">
        <f>O74*E74</f>
        <v>18662770</v>
      </c>
      <c r="Q74" s="152"/>
      <c r="R74" s="153"/>
      <c r="S74" s="155">
        <v>14875000</v>
      </c>
      <c r="T74" s="167">
        <f>S74*E74</f>
        <v>14875000</v>
      </c>
      <c r="U74" s="156">
        <f>AVERAGE(J74,L74,N74)</f>
        <v>2399700</v>
      </c>
      <c r="V74" s="156">
        <f>+MIN(J74,L74,N74)</f>
        <v>2399700</v>
      </c>
      <c r="W74" s="147">
        <f>MEDIAN(J74,L74,N74)</f>
        <v>2399700</v>
      </c>
      <c r="X74" s="157">
        <f>GEOMEAN(J74,L74,N74)</f>
        <v>2399700</v>
      </c>
      <c r="Y74" s="172">
        <f>(T74+P74)/2</f>
        <v>16768885</v>
      </c>
      <c r="Z74" s="159">
        <f>Y74</f>
        <v>16768885</v>
      </c>
    </row>
    <row r="75" spans="1:26" s="138" customFormat="1" ht="27.75" customHeight="1" x14ac:dyDescent="0.15">
      <c r="A75" s="208">
        <v>64</v>
      </c>
      <c r="B75" s="148" t="s">
        <v>228</v>
      </c>
      <c r="C75" s="148" t="s">
        <v>158</v>
      </c>
      <c r="D75" s="149" t="s">
        <v>22</v>
      </c>
      <c r="E75" s="224">
        <v>1</v>
      </c>
      <c r="F75" s="147" t="s">
        <v>31</v>
      </c>
      <c r="G75" s="214">
        <v>1355574</v>
      </c>
      <c r="H75" s="163">
        <f t="shared" si="23"/>
        <v>1355574</v>
      </c>
      <c r="I75" s="164">
        <v>660000</v>
      </c>
      <c r="J75" s="151">
        <f t="shared" si="38"/>
        <v>660000</v>
      </c>
      <c r="K75" s="155">
        <v>275000</v>
      </c>
      <c r="L75" s="156">
        <f t="shared" ref="L75:L77" si="39">+K75*E75</f>
        <v>275000</v>
      </c>
      <c r="M75" s="152"/>
      <c r="N75" s="153"/>
      <c r="O75" s="156">
        <v>1547000</v>
      </c>
      <c r="P75" s="167">
        <v>1547000</v>
      </c>
      <c r="Q75" s="152"/>
      <c r="R75" s="153"/>
      <c r="S75" s="155">
        <v>981750</v>
      </c>
      <c r="T75" s="167">
        <f>S75*E75</f>
        <v>981750</v>
      </c>
      <c r="U75" s="156">
        <f>AVERAGE(J75,L75,N75)</f>
        <v>467500</v>
      </c>
      <c r="V75" s="156">
        <f>+MIN(J75,L75,N75)</f>
        <v>275000</v>
      </c>
      <c r="W75" s="147">
        <f>MEDIAN(J75,L75,N75)</f>
        <v>467500</v>
      </c>
      <c r="X75" s="157">
        <f>GEOMEAN(J75,L75,N75)</f>
        <v>426028.16808281589</v>
      </c>
      <c r="Y75" s="172">
        <f>(T75+P75)/2</f>
        <v>1264375</v>
      </c>
      <c r="Z75" s="159">
        <f>Y75</f>
        <v>1264375</v>
      </c>
    </row>
    <row r="76" spans="1:26" s="138" customFormat="1" ht="27.75" customHeight="1" x14ac:dyDescent="0.15">
      <c r="A76" s="208">
        <v>65</v>
      </c>
      <c r="B76" s="148" t="s">
        <v>159</v>
      </c>
      <c r="C76" s="148" t="s">
        <v>160</v>
      </c>
      <c r="D76" s="149" t="s">
        <v>22</v>
      </c>
      <c r="E76" s="224">
        <v>2</v>
      </c>
      <c r="F76" s="147" t="s">
        <v>23</v>
      </c>
      <c r="G76" s="214">
        <v>480000</v>
      </c>
      <c r="H76" s="163">
        <f t="shared" si="23"/>
        <v>960000</v>
      </c>
      <c r="I76" s="176">
        <v>4659600</v>
      </c>
      <c r="J76" s="151">
        <f t="shared" si="38"/>
        <v>9319200</v>
      </c>
      <c r="K76" s="155">
        <v>499875</v>
      </c>
      <c r="L76" s="156">
        <f t="shared" si="39"/>
        <v>999750</v>
      </c>
      <c r="M76" s="155">
        <v>310193.33333333331</v>
      </c>
      <c r="N76" s="156">
        <f t="shared" si="32"/>
        <v>620386.66666666663</v>
      </c>
      <c r="O76" s="153"/>
      <c r="P76" s="154"/>
      <c r="Q76" s="155">
        <v>627200</v>
      </c>
      <c r="R76" s="167">
        <f t="shared" ref="R76:R79" si="40">Q76*E76</f>
        <v>1254400</v>
      </c>
      <c r="S76" s="152"/>
      <c r="T76" s="153"/>
      <c r="U76" s="156">
        <f>AVERAGE(J76,L76,N76)</f>
        <v>3646445.5555555555</v>
      </c>
      <c r="V76" s="156">
        <f>+MIN(J76,L76,N76)</f>
        <v>620386.66666666663</v>
      </c>
      <c r="W76" s="172">
        <f>MEDIAN(J76,L76,N76)</f>
        <v>999750</v>
      </c>
      <c r="X76" s="157">
        <f>GEOMEAN(J76,L76,N76)</f>
        <v>1794640.648019454</v>
      </c>
      <c r="Y76" s="174"/>
      <c r="Z76" s="159">
        <f>W76</f>
        <v>999750</v>
      </c>
    </row>
    <row r="77" spans="1:26" s="138" customFormat="1" ht="27.75" customHeight="1" x14ac:dyDescent="0.15">
      <c r="A77" s="208">
        <v>66</v>
      </c>
      <c r="B77" s="148" t="s">
        <v>161</v>
      </c>
      <c r="C77" s="148" t="s">
        <v>162</v>
      </c>
      <c r="D77" s="149" t="s">
        <v>107</v>
      </c>
      <c r="E77" s="224">
        <v>1</v>
      </c>
      <c r="F77" s="147" t="s">
        <v>23</v>
      </c>
      <c r="G77" s="214">
        <v>770000</v>
      </c>
      <c r="H77" s="163">
        <f t="shared" si="23"/>
        <v>770000</v>
      </c>
      <c r="I77" s="164">
        <v>524700</v>
      </c>
      <c r="J77" s="151">
        <f t="shared" si="38"/>
        <v>524700</v>
      </c>
      <c r="K77" s="155">
        <v>1019480</v>
      </c>
      <c r="L77" s="156">
        <f t="shared" si="39"/>
        <v>1019480</v>
      </c>
      <c r="M77" s="152"/>
      <c r="N77" s="153"/>
      <c r="O77" s="153"/>
      <c r="P77" s="154"/>
      <c r="Q77" s="155">
        <v>502500</v>
      </c>
      <c r="R77" s="167">
        <f t="shared" si="40"/>
        <v>502500</v>
      </c>
      <c r="S77" s="152"/>
      <c r="T77" s="153"/>
      <c r="U77" s="168">
        <f>AVERAGE(J77,L77,N77)</f>
        <v>772090</v>
      </c>
      <c r="V77" s="156">
        <f>+MIN(J77,L77,N77)</f>
        <v>524700</v>
      </c>
      <c r="W77" s="147">
        <f>MEDIAN(J77,L77,N77)</f>
        <v>772090</v>
      </c>
      <c r="X77" s="157">
        <f>GEOMEAN(J77,L77,N77)</f>
        <v>731383.0432816993</v>
      </c>
      <c r="Y77" s="174"/>
      <c r="Z77" s="159">
        <f>U77</f>
        <v>772090</v>
      </c>
    </row>
    <row r="78" spans="1:26" ht="27.75" customHeight="1" x14ac:dyDescent="0.15">
      <c r="A78" s="293" t="s">
        <v>163</v>
      </c>
      <c r="B78" s="294"/>
      <c r="C78" s="294"/>
      <c r="D78" s="294"/>
      <c r="E78" s="295"/>
      <c r="F78" s="218"/>
      <c r="G78" s="143"/>
      <c r="H78" s="143">
        <f t="shared" ref="H78:X78" si="41">SUM(H79:H79)</f>
        <v>570000</v>
      </c>
      <c r="I78" s="143">
        <f t="shared" si="41"/>
        <v>267000</v>
      </c>
      <c r="J78" s="143">
        <f t="shared" si="41"/>
        <v>534000</v>
      </c>
      <c r="K78" s="143">
        <f t="shared" si="41"/>
        <v>205623.33333333334</v>
      </c>
      <c r="L78" s="143">
        <f t="shared" si="41"/>
        <v>411246.66666666669</v>
      </c>
      <c r="M78" s="143">
        <f t="shared" si="41"/>
        <v>0</v>
      </c>
      <c r="N78" s="143">
        <f t="shared" si="41"/>
        <v>0</v>
      </c>
      <c r="O78" s="143"/>
      <c r="P78" s="143"/>
      <c r="Q78" s="143"/>
      <c r="R78" s="143"/>
      <c r="S78" s="143"/>
      <c r="T78" s="143"/>
      <c r="U78" s="143">
        <f t="shared" si="41"/>
        <v>472623.33333333337</v>
      </c>
      <c r="V78" s="143">
        <f t="shared" si="41"/>
        <v>411246.66666666669</v>
      </c>
      <c r="W78" s="143">
        <f t="shared" si="41"/>
        <v>472623.33333333337</v>
      </c>
      <c r="X78" s="144">
        <f t="shared" si="41"/>
        <v>468621.08360593423</v>
      </c>
      <c r="Y78" s="145"/>
      <c r="Z78" s="146">
        <f>SUM(Z79:Z79)</f>
        <v>472623.33333333337</v>
      </c>
    </row>
    <row r="79" spans="1:26" s="138" customFormat="1" ht="27.75" customHeight="1" x14ac:dyDescent="0.15">
      <c r="A79" s="208">
        <v>67</v>
      </c>
      <c r="B79" s="148" t="s">
        <v>164</v>
      </c>
      <c r="C79" s="148" t="s">
        <v>165</v>
      </c>
      <c r="D79" s="149" t="s">
        <v>22</v>
      </c>
      <c r="E79" s="224">
        <v>2</v>
      </c>
      <c r="F79" s="147" t="s">
        <v>23</v>
      </c>
      <c r="G79" s="214">
        <v>285000</v>
      </c>
      <c r="H79" s="163">
        <f t="shared" si="23"/>
        <v>570000</v>
      </c>
      <c r="I79" s="156">
        <v>267000</v>
      </c>
      <c r="J79" s="151">
        <f t="shared" ref="J79" si="42">+I79*E79</f>
        <v>534000</v>
      </c>
      <c r="K79" s="155">
        <v>205623.33333333334</v>
      </c>
      <c r="L79" s="156">
        <f>+K79*E79</f>
        <v>411246.66666666669</v>
      </c>
      <c r="M79" s="152"/>
      <c r="N79" s="153"/>
      <c r="O79" s="153"/>
      <c r="P79" s="154"/>
      <c r="Q79" s="155">
        <v>425600</v>
      </c>
      <c r="R79" s="167">
        <f t="shared" si="40"/>
        <v>851200</v>
      </c>
      <c r="S79" s="152"/>
      <c r="T79" s="153"/>
      <c r="U79" s="168">
        <f>AVERAGE(J79,L79,N79)</f>
        <v>472623.33333333337</v>
      </c>
      <c r="V79" s="156">
        <f>+MIN(J79,L79,N79)</f>
        <v>411246.66666666669</v>
      </c>
      <c r="W79" s="147">
        <f>MEDIAN(J79,L79,N79)</f>
        <v>472623.33333333337</v>
      </c>
      <c r="X79" s="157">
        <f>GEOMEAN(J79,L79,N79)</f>
        <v>468621.08360593423</v>
      </c>
      <c r="Y79" s="174"/>
      <c r="Z79" s="159">
        <f>U79</f>
        <v>472623.33333333337</v>
      </c>
    </row>
    <row r="80" spans="1:26" ht="27.75" customHeight="1" x14ac:dyDescent="0.15">
      <c r="A80" s="293" t="s">
        <v>166</v>
      </c>
      <c r="B80" s="294"/>
      <c r="C80" s="294"/>
      <c r="D80" s="294"/>
      <c r="E80" s="295"/>
      <c r="F80" s="218"/>
      <c r="G80" s="143"/>
      <c r="H80" s="143">
        <f t="shared" ref="H80:X80" si="43">SUM(H81:H81)</f>
        <v>2240000</v>
      </c>
      <c r="I80" s="143">
        <f t="shared" si="43"/>
        <v>5602500.0000000009</v>
      </c>
      <c r="J80" s="143">
        <f t="shared" si="43"/>
        <v>5602500.0000000009</v>
      </c>
      <c r="K80" s="143">
        <f t="shared" si="43"/>
        <v>375000</v>
      </c>
      <c r="L80" s="143">
        <f t="shared" si="43"/>
        <v>375000</v>
      </c>
      <c r="M80" s="143">
        <f t="shared" si="43"/>
        <v>0</v>
      </c>
      <c r="N80" s="143">
        <f t="shared" si="43"/>
        <v>0</v>
      </c>
      <c r="O80" s="143"/>
      <c r="P80" s="143"/>
      <c r="Q80" s="143"/>
      <c r="R80" s="143"/>
      <c r="S80" s="143"/>
      <c r="T80" s="143"/>
      <c r="U80" s="143">
        <f t="shared" si="43"/>
        <v>2988750.0000000005</v>
      </c>
      <c r="V80" s="143">
        <f t="shared" si="43"/>
        <v>375000</v>
      </c>
      <c r="W80" s="143">
        <f t="shared" si="43"/>
        <v>2988750.0000000005</v>
      </c>
      <c r="X80" s="144">
        <f t="shared" si="43"/>
        <v>1449461.1067565768</v>
      </c>
      <c r="Y80" s="145"/>
      <c r="Z80" s="146">
        <f>SUM(Z81:Z81)</f>
        <v>2231250</v>
      </c>
    </row>
    <row r="81" spans="1:26" s="138" customFormat="1" ht="27.75" customHeight="1" x14ac:dyDescent="0.15">
      <c r="A81" s="208">
        <v>68</v>
      </c>
      <c r="B81" s="148" t="s">
        <v>167</v>
      </c>
      <c r="C81" s="148" t="s">
        <v>168</v>
      </c>
      <c r="D81" s="149" t="s">
        <v>22</v>
      </c>
      <c r="E81" s="224">
        <v>1</v>
      </c>
      <c r="F81" s="147" t="s">
        <v>31</v>
      </c>
      <c r="G81" s="214">
        <v>2240000</v>
      </c>
      <c r="H81" s="163">
        <f t="shared" si="23"/>
        <v>2240000</v>
      </c>
      <c r="I81" s="156">
        <v>5602500.0000000009</v>
      </c>
      <c r="J81" s="151">
        <f t="shared" ref="J81" si="44">+I81*E81</f>
        <v>5602500.0000000009</v>
      </c>
      <c r="K81" s="184">
        <v>375000</v>
      </c>
      <c r="L81" s="156">
        <f>+K81*E81</f>
        <v>375000</v>
      </c>
      <c r="M81" s="152"/>
      <c r="N81" s="153"/>
      <c r="O81" s="156">
        <v>1487500</v>
      </c>
      <c r="P81" s="151">
        <f>O81*E81</f>
        <v>1487500</v>
      </c>
      <c r="Q81" s="152"/>
      <c r="R81" s="153"/>
      <c r="S81" s="155">
        <v>2975000</v>
      </c>
      <c r="T81" s="156">
        <f>S81*E81</f>
        <v>2975000</v>
      </c>
      <c r="U81" s="156">
        <f>AVERAGE(J81,L81,N81)</f>
        <v>2988750.0000000005</v>
      </c>
      <c r="V81" s="156">
        <f>+MIN(J81,L81,N81)</f>
        <v>375000</v>
      </c>
      <c r="W81" s="147">
        <f>MEDIAN(J81,L81,N81)</f>
        <v>2988750.0000000005</v>
      </c>
      <c r="X81" s="157">
        <f>GEOMEAN(J81,L81,N81)</f>
        <v>1449461.1067565768</v>
      </c>
      <c r="Y81" s="172">
        <f>(T81+P81)/2</f>
        <v>2231250</v>
      </c>
      <c r="Z81" s="159">
        <f>Y81</f>
        <v>2231250</v>
      </c>
    </row>
    <row r="82" spans="1:26" ht="27.75" customHeight="1" x14ac:dyDescent="0.15">
      <c r="A82" s="293" t="s">
        <v>169</v>
      </c>
      <c r="B82" s="294"/>
      <c r="C82" s="294"/>
      <c r="D82" s="294"/>
      <c r="E82" s="295"/>
      <c r="F82" s="218"/>
      <c r="G82" s="143"/>
      <c r="H82" s="143">
        <f t="shared" ref="H82:X82" si="45">SUM(H83:H85)</f>
        <v>3820000</v>
      </c>
      <c r="I82" s="143">
        <f t="shared" si="45"/>
        <v>4544793</v>
      </c>
      <c r="J82" s="143">
        <f t="shared" si="45"/>
        <v>7710672</v>
      </c>
      <c r="K82" s="143">
        <f t="shared" si="45"/>
        <v>972413.75</v>
      </c>
      <c r="L82" s="143">
        <f t="shared" si="45"/>
        <v>2234030</v>
      </c>
      <c r="M82" s="143">
        <f t="shared" si="45"/>
        <v>1878296</v>
      </c>
      <c r="N82" s="143">
        <f t="shared" si="45"/>
        <v>3187296</v>
      </c>
      <c r="O82" s="143"/>
      <c r="P82" s="143"/>
      <c r="Q82" s="143"/>
      <c r="R82" s="143"/>
      <c r="S82" s="143"/>
      <c r="T82" s="143"/>
      <c r="U82" s="143">
        <f t="shared" si="45"/>
        <v>4377332.666666667</v>
      </c>
      <c r="V82" s="143">
        <f t="shared" si="45"/>
        <v>2107360</v>
      </c>
      <c r="W82" s="143">
        <f t="shared" si="45"/>
        <v>3313966</v>
      </c>
      <c r="X82" s="144">
        <f t="shared" si="45"/>
        <v>3649011.3960184655</v>
      </c>
      <c r="Y82" s="145"/>
      <c r="Z82" s="146">
        <f>SUM(Z83:Z85)</f>
        <v>3779485.333333334</v>
      </c>
    </row>
    <row r="83" spans="1:26" ht="27.75" customHeight="1" x14ac:dyDescent="0.15">
      <c r="A83" s="208">
        <v>69</v>
      </c>
      <c r="B83" s="161" t="s">
        <v>170</v>
      </c>
      <c r="C83" s="161" t="s">
        <v>171</v>
      </c>
      <c r="D83" s="162" t="s">
        <v>22</v>
      </c>
      <c r="E83" s="224">
        <v>2</v>
      </c>
      <c r="F83" s="160" t="s">
        <v>23</v>
      </c>
      <c r="G83" s="214">
        <v>480000</v>
      </c>
      <c r="H83" s="163">
        <f t="shared" si="23"/>
        <v>960000</v>
      </c>
      <c r="I83" s="176">
        <v>1049700</v>
      </c>
      <c r="J83" s="165">
        <f t="shared" ref="J83:J85" si="46">+I83*E83</f>
        <v>2099400</v>
      </c>
      <c r="K83" s="166">
        <v>379875</v>
      </c>
      <c r="L83" s="167">
        <f t="shared" ref="L83:L85" si="47">+K83*E83</f>
        <v>759750</v>
      </c>
      <c r="M83" s="166">
        <v>316540</v>
      </c>
      <c r="N83" s="167">
        <f t="shared" si="32"/>
        <v>633080</v>
      </c>
      <c r="O83" s="153"/>
      <c r="P83" s="154"/>
      <c r="Q83" s="166">
        <v>391900</v>
      </c>
      <c r="R83" s="167">
        <f>Q83*E83</f>
        <v>783800</v>
      </c>
      <c r="S83" s="152"/>
      <c r="T83" s="153"/>
      <c r="U83" s="168">
        <f>AVERAGE(J83,L83,N83)</f>
        <v>1164076.6666666667</v>
      </c>
      <c r="V83" s="167">
        <f>+MIN(J83,L83,N83)</f>
        <v>633080</v>
      </c>
      <c r="W83" s="163">
        <f>MEDIAN(J83,L83,N83)</f>
        <v>759750</v>
      </c>
      <c r="X83" s="169">
        <f>GEOMEAN(J83,L83,N83)</f>
        <v>1003247.6823020863</v>
      </c>
      <c r="Y83" s="170"/>
      <c r="Z83" s="171">
        <f>U83</f>
        <v>1164076.6666666667</v>
      </c>
    </row>
    <row r="84" spans="1:26" ht="27.75" customHeight="1" x14ac:dyDescent="0.15">
      <c r="A84" s="208">
        <v>70</v>
      </c>
      <c r="B84" s="161" t="s">
        <v>279</v>
      </c>
      <c r="C84" s="161" t="s">
        <v>173</v>
      </c>
      <c r="D84" s="209" t="s">
        <v>22</v>
      </c>
      <c r="E84" s="224">
        <v>4</v>
      </c>
      <c r="F84" s="160" t="s">
        <v>23</v>
      </c>
      <c r="G84" s="163">
        <v>465000</v>
      </c>
      <c r="H84" s="163">
        <f t="shared" si="23"/>
        <v>1860000</v>
      </c>
      <c r="I84" s="176">
        <v>705393</v>
      </c>
      <c r="J84" s="165">
        <f t="shared" si="46"/>
        <v>2821572</v>
      </c>
      <c r="K84" s="166">
        <v>293913.75</v>
      </c>
      <c r="L84" s="167">
        <f t="shared" si="47"/>
        <v>1175655</v>
      </c>
      <c r="M84" s="166">
        <v>330820</v>
      </c>
      <c r="N84" s="167">
        <f t="shared" si="32"/>
        <v>1323280</v>
      </c>
      <c r="O84" s="153"/>
      <c r="P84" s="154"/>
      <c r="Q84" s="166">
        <v>263400</v>
      </c>
      <c r="R84" s="167">
        <f>Q84*E84</f>
        <v>1053600</v>
      </c>
      <c r="S84" s="152"/>
      <c r="T84" s="153"/>
      <c r="U84" s="156">
        <f>AVERAGE(J84,L84,N84)</f>
        <v>1773502.3333333333</v>
      </c>
      <c r="V84" s="168">
        <f>+MIN(J84,L84,N84)</f>
        <v>1175655</v>
      </c>
      <c r="W84" s="163">
        <f>MEDIAN(J84,L84,N84)</f>
        <v>1323280</v>
      </c>
      <c r="X84" s="169">
        <f>GEOMEAN(J84,L84,N84)</f>
        <v>1637347.7484539622</v>
      </c>
      <c r="Y84" s="170"/>
      <c r="Z84" s="171">
        <f>V84</f>
        <v>1175655</v>
      </c>
    </row>
    <row r="85" spans="1:26" ht="27.75" customHeight="1" x14ac:dyDescent="0.15">
      <c r="A85" s="208">
        <v>71</v>
      </c>
      <c r="B85" s="161" t="s">
        <v>174</v>
      </c>
      <c r="C85" s="161" t="s">
        <v>175</v>
      </c>
      <c r="D85" s="162" t="s">
        <v>22</v>
      </c>
      <c r="E85" s="224">
        <v>1</v>
      </c>
      <c r="F85" s="160" t="s">
        <v>23</v>
      </c>
      <c r="G85" s="215">
        <v>1000000</v>
      </c>
      <c r="H85" s="163">
        <f t="shared" si="23"/>
        <v>1000000</v>
      </c>
      <c r="I85" s="176">
        <v>2789700.0000000005</v>
      </c>
      <c r="J85" s="165">
        <f t="shared" si="46"/>
        <v>2789700.0000000005</v>
      </c>
      <c r="K85" s="166">
        <v>298625</v>
      </c>
      <c r="L85" s="167">
        <f t="shared" si="47"/>
        <v>298625</v>
      </c>
      <c r="M85" s="166">
        <f>1034400*1.19</f>
        <v>1230936</v>
      </c>
      <c r="N85" s="167">
        <f t="shared" si="32"/>
        <v>1230936</v>
      </c>
      <c r="O85" s="153"/>
      <c r="P85" s="154"/>
      <c r="Q85" s="155">
        <v>694400</v>
      </c>
      <c r="R85" s="167">
        <f>Q85*E85</f>
        <v>694400</v>
      </c>
      <c r="S85" s="152"/>
      <c r="T85" s="153"/>
      <c r="U85" s="168">
        <f>AVERAGE(J85,L85,N85)</f>
        <v>1439753.6666666667</v>
      </c>
      <c r="V85" s="167">
        <f>+MIN(J85,L85,N85)</f>
        <v>298625</v>
      </c>
      <c r="W85" s="163">
        <f>MEDIAN(J85,L85,N85)</f>
        <v>1230936</v>
      </c>
      <c r="X85" s="169">
        <f>GEOMEAN(J85,L85,N85)</f>
        <v>1008415.9652624171</v>
      </c>
      <c r="Y85" s="170"/>
      <c r="Z85" s="171">
        <f t="shared" ref="Z85" si="48">U85</f>
        <v>1439753.6666666667</v>
      </c>
    </row>
    <row r="86" spans="1:26" ht="27.75" customHeight="1" x14ac:dyDescent="0.15">
      <c r="A86" s="293" t="s">
        <v>176</v>
      </c>
      <c r="B86" s="294"/>
      <c r="C86" s="294"/>
      <c r="D86" s="294"/>
      <c r="E86" s="295"/>
      <c r="F86" s="218"/>
      <c r="G86" s="143"/>
      <c r="H86" s="185">
        <f>SUM(H87:H98)</f>
        <v>4070313</v>
      </c>
      <c r="I86" s="143">
        <f t="shared" ref="I86:X86" si="49">SUM(I87:I98)</f>
        <v>2505529</v>
      </c>
      <c r="J86" s="143">
        <f t="shared" si="49"/>
        <v>8424371</v>
      </c>
      <c r="K86" s="143">
        <f t="shared" si="49"/>
        <v>1015125</v>
      </c>
      <c r="L86" s="143">
        <f t="shared" si="49"/>
        <v>3293500</v>
      </c>
      <c r="M86" s="143">
        <f t="shared" si="49"/>
        <v>732246.66269999999</v>
      </c>
      <c r="N86" s="143">
        <f t="shared" si="49"/>
        <v>2402847.984133333</v>
      </c>
      <c r="O86" s="143"/>
      <c r="P86" s="143"/>
      <c r="Q86" s="143"/>
      <c r="R86" s="143"/>
      <c r="S86" s="143"/>
      <c r="T86" s="143"/>
      <c r="U86" s="143">
        <f t="shared" si="49"/>
        <v>4961977.1613777783</v>
      </c>
      <c r="V86" s="143">
        <f t="shared" si="49"/>
        <v>3132529.6508000004</v>
      </c>
      <c r="W86" s="143">
        <f t="shared" si="49"/>
        <v>3913655.8333333335</v>
      </c>
      <c r="X86" s="144">
        <f t="shared" si="49"/>
        <v>4597963.2073651003</v>
      </c>
      <c r="Y86" s="145"/>
      <c r="Z86" s="146">
        <f>SUM(Z87:Z98)</f>
        <v>4173384.6556539075</v>
      </c>
    </row>
    <row r="87" spans="1:26" ht="27.75" customHeight="1" x14ac:dyDescent="0.15">
      <c r="A87" s="208">
        <v>72</v>
      </c>
      <c r="B87" s="161" t="s">
        <v>230</v>
      </c>
      <c r="C87" s="161" t="s">
        <v>178</v>
      </c>
      <c r="D87" s="162" t="s">
        <v>22</v>
      </c>
      <c r="E87" s="224">
        <v>1</v>
      </c>
      <c r="F87" s="160" t="s">
        <v>23</v>
      </c>
      <c r="G87" s="214">
        <v>61670</v>
      </c>
      <c r="H87" s="163">
        <f t="shared" si="23"/>
        <v>61670</v>
      </c>
      <c r="I87" s="167">
        <v>77640</v>
      </c>
      <c r="J87" s="165">
        <f t="shared" ref="J87:J98" si="50">+I87*E87</f>
        <v>77640</v>
      </c>
      <c r="K87" s="166">
        <v>46125.000000000007</v>
      </c>
      <c r="L87" s="167">
        <f t="shared" ref="L87:L98" si="51">+K87*E87</f>
        <v>46125.000000000007</v>
      </c>
      <c r="M87" s="166">
        <v>72193.333333333328</v>
      </c>
      <c r="N87" s="167">
        <f t="shared" si="32"/>
        <v>72193.333333333328</v>
      </c>
      <c r="O87" s="153"/>
      <c r="P87" s="154"/>
      <c r="Q87" s="166">
        <v>48100</v>
      </c>
      <c r="R87" s="167">
        <f>Q87*E87</f>
        <v>48100</v>
      </c>
      <c r="S87" s="152"/>
      <c r="T87" s="153"/>
      <c r="U87" s="168">
        <f t="shared" ref="U87:U96" si="52">AVERAGE(J87,L87,N87)</f>
        <v>65319.444444444438</v>
      </c>
      <c r="V87" s="167">
        <f t="shared" ref="V87:V98" si="53">+MIN(J87,L87,N87)</f>
        <v>46125.000000000007</v>
      </c>
      <c r="W87" s="163">
        <f t="shared" ref="W87:W98" si="54">MEDIAN(J87,L87,N87)</f>
        <v>72193.333333333328</v>
      </c>
      <c r="X87" s="169">
        <f t="shared" ref="X87:X98" si="55">GEOMEAN(J87,L87,N87)</f>
        <v>63704.923742901068</v>
      </c>
      <c r="Y87" s="170"/>
      <c r="Z87" s="171">
        <f>U87</f>
        <v>65319.444444444438</v>
      </c>
    </row>
    <row r="88" spans="1:26" ht="27.75" customHeight="1" x14ac:dyDescent="0.15">
      <c r="A88" s="208">
        <v>73</v>
      </c>
      <c r="B88" s="161" t="s">
        <v>179</v>
      </c>
      <c r="C88" s="161" t="s">
        <v>180</v>
      </c>
      <c r="D88" s="162" t="s">
        <v>22</v>
      </c>
      <c r="E88" s="224">
        <v>2</v>
      </c>
      <c r="F88" s="160" t="s">
        <v>23</v>
      </c>
      <c r="G88" s="214">
        <v>109847</v>
      </c>
      <c r="H88" s="163">
        <f t="shared" si="23"/>
        <v>219694</v>
      </c>
      <c r="I88" s="176">
        <v>272700</v>
      </c>
      <c r="J88" s="165">
        <f t="shared" si="50"/>
        <v>545400</v>
      </c>
      <c r="K88" s="166">
        <v>113625</v>
      </c>
      <c r="L88" s="167">
        <f t="shared" si="51"/>
        <v>227250</v>
      </c>
      <c r="M88" s="166">
        <v>92820</v>
      </c>
      <c r="N88" s="167">
        <f t="shared" si="32"/>
        <v>185640</v>
      </c>
      <c r="O88" s="153"/>
      <c r="P88" s="154"/>
      <c r="Q88" s="166">
        <v>101900</v>
      </c>
      <c r="R88" s="167">
        <f>Q88*E88</f>
        <v>203800</v>
      </c>
      <c r="S88" s="152"/>
      <c r="T88" s="153"/>
      <c r="U88" s="168">
        <f t="shared" si="52"/>
        <v>319430</v>
      </c>
      <c r="V88" s="167">
        <f t="shared" si="53"/>
        <v>185640</v>
      </c>
      <c r="W88" s="163">
        <f t="shared" si="54"/>
        <v>227250</v>
      </c>
      <c r="X88" s="169">
        <f t="shared" si="55"/>
        <v>284422.22426870035</v>
      </c>
      <c r="Y88" s="170"/>
      <c r="Z88" s="171">
        <f t="shared" ref="Z88:Z95" si="56">U88</f>
        <v>319430</v>
      </c>
    </row>
    <row r="89" spans="1:26" ht="27.75" customHeight="1" x14ac:dyDescent="0.15">
      <c r="A89" s="208">
        <v>74</v>
      </c>
      <c r="B89" s="161" t="s">
        <v>181</v>
      </c>
      <c r="C89" s="161" t="s">
        <v>182</v>
      </c>
      <c r="D89" s="162" t="s">
        <v>22</v>
      </c>
      <c r="E89" s="224">
        <v>4</v>
      </c>
      <c r="F89" s="160" t="s">
        <v>23</v>
      </c>
      <c r="G89" s="214">
        <v>240842</v>
      </c>
      <c r="H89" s="163">
        <f t="shared" si="23"/>
        <v>963368</v>
      </c>
      <c r="I89" s="176">
        <v>524700</v>
      </c>
      <c r="J89" s="165">
        <f t="shared" si="50"/>
        <v>2098800</v>
      </c>
      <c r="K89" s="166">
        <v>218625</v>
      </c>
      <c r="L89" s="167">
        <f t="shared" si="51"/>
        <v>874500</v>
      </c>
      <c r="M89" s="166">
        <f>166933.33*1.19</f>
        <v>198650.66269999999</v>
      </c>
      <c r="N89" s="167">
        <f t="shared" si="32"/>
        <v>794602.65079999994</v>
      </c>
      <c r="O89" s="153"/>
      <c r="P89" s="154"/>
      <c r="Q89" s="166">
        <v>195900</v>
      </c>
      <c r="R89" s="167">
        <f>Q89*E89</f>
        <v>783600</v>
      </c>
      <c r="S89" s="152"/>
      <c r="T89" s="153"/>
      <c r="U89" s="156">
        <f t="shared" si="52"/>
        <v>1255967.5502666666</v>
      </c>
      <c r="V89" s="167">
        <f t="shared" si="53"/>
        <v>794602.65079999994</v>
      </c>
      <c r="W89" s="163">
        <f t="shared" si="54"/>
        <v>874500</v>
      </c>
      <c r="X89" s="169">
        <f t="shared" si="55"/>
        <v>1134036.3085400981</v>
      </c>
      <c r="Y89" s="172">
        <f>R89</f>
        <v>783600</v>
      </c>
      <c r="Z89" s="171">
        <f>Y89</f>
        <v>783600</v>
      </c>
    </row>
    <row r="90" spans="1:26" ht="27.75" customHeight="1" x14ac:dyDescent="0.15">
      <c r="A90" s="208">
        <v>75</v>
      </c>
      <c r="B90" s="161" t="s">
        <v>183</v>
      </c>
      <c r="C90" s="161" t="s">
        <v>184</v>
      </c>
      <c r="D90" s="162" t="s">
        <v>81</v>
      </c>
      <c r="E90" s="224">
        <v>4</v>
      </c>
      <c r="F90" s="160" t="s">
        <v>23</v>
      </c>
      <c r="G90" s="214">
        <v>23139</v>
      </c>
      <c r="H90" s="163">
        <f t="shared" si="23"/>
        <v>92556</v>
      </c>
      <c r="I90" s="167">
        <v>83700</v>
      </c>
      <c r="J90" s="165">
        <f t="shared" si="50"/>
        <v>334800</v>
      </c>
      <c r="K90" s="166">
        <v>34875</v>
      </c>
      <c r="L90" s="167">
        <f t="shared" si="51"/>
        <v>139500</v>
      </c>
      <c r="M90" s="152"/>
      <c r="N90" s="153"/>
      <c r="O90" s="153"/>
      <c r="P90" s="154"/>
      <c r="Q90" s="166">
        <v>18500</v>
      </c>
      <c r="R90" s="167">
        <f t="shared" ref="R90:R98" si="57">Q90*E90</f>
        <v>74000</v>
      </c>
      <c r="S90" s="152"/>
      <c r="T90" s="153"/>
      <c r="U90" s="156">
        <f t="shared" si="52"/>
        <v>237150</v>
      </c>
      <c r="V90" s="168">
        <f t="shared" si="53"/>
        <v>139500</v>
      </c>
      <c r="W90" s="163">
        <f t="shared" si="54"/>
        <v>237150</v>
      </c>
      <c r="X90" s="169">
        <f t="shared" si="55"/>
        <v>216112.47071837386</v>
      </c>
      <c r="Y90" s="170"/>
      <c r="Z90" s="171">
        <f>V90</f>
        <v>139500</v>
      </c>
    </row>
    <row r="91" spans="1:26" ht="27.75" customHeight="1" x14ac:dyDescent="0.15">
      <c r="A91" s="208">
        <v>76</v>
      </c>
      <c r="B91" s="161" t="s">
        <v>276</v>
      </c>
      <c r="C91" s="161" t="s">
        <v>186</v>
      </c>
      <c r="D91" s="209" t="s">
        <v>107</v>
      </c>
      <c r="E91" s="224">
        <v>2</v>
      </c>
      <c r="F91" s="160" t="s">
        <v>23</v>
      </c>
      <c r="G91" s="214">
        <v>165340</v>
      </c>
      <c r="H91" s="163">
        <f t="shared" si="23"/>
        <v>330680</v>
      </c>
      <c r="I91" s="176">
        <v>398700</v>
      </c>
      <c r="J91" s="165">
        <f t="shared" si="50"/>
        <v>797400</v>
      </c>
      <c r="K91" s="166">
        <v>166125</v>
      </c>
      <c r="L91" s="167">
        <f t="shared" si="51"/>
        <v>332250</v>
      </c>
      <c r="M91" s="166">
        <v>148512</v>
      </c>
      <c r="N91" s="167">
        <f t="shared" si="32"/>
        <v>297024</v>
      </c>
      <c r="O91" s="153"/>
      <c r="P91" s="154"/>
      <c r="Q91" s="166">
        <v>153400</v>
      </c>
      <c r="R91" s="167">
        <f t="shared" si="57"/>
        <v>306800</v>
      </c>
      <c r="S91" s="152"/>
      <c r="T91" s="153"/>
      <c r="U91" s="156">
        <f t="shared" si="52"/>
        <v>475558</v>
      </c>
      <c r="V91" s="167">
        <f t="shared" si="53"/>
        <v>297024</v>
      </c>
      <c r="W91" s="172">
        <f t="shared" si="54"/>
        <v>332250</v>
      </c>
      <c r="X91" s="169">
        <f t="shared" si="55"/>
        <v>428526.40527575801</v>
      </c>
      <c r="Y91" s="170"/>
      <c r="Z91" s="171">
        <f>W91</f>
        <v>332250</v>
      </c>
    </row>
    <row r="92" spans="1:26" ht="27.75" customHeight="1" x14ac:dyDescent="0.15">
      <c r="A92" s="208">
        <v>77</v>
      </c>
      <c r="B92" s="161" t="s">
        <v>187</v>
      </c>
      <c r="C92" s="161" t="s">
        <v>188</v>
      </c>
      <c r="D92" s="162" t="s">
        <v>107</v>
      </c>
      <c r="E92" s="224">
        <v>2</v>
      </c>
      <c r="F92" s="160" t="s">
        <v>23</v>
      </c>
      <c r="G92" s="214">
        <v>309919</v>
      </c>
      <c r="H92" s="163">
        <f t="shared" si="23"/>
        <v>619838</v>
      </c>
      <c r="I92" s="167">
        <v>334125.00000000006</v>
      </c>
      <c r="J92" s="165">
        <f t="shared" si="50"/>
        <v>668250.00000000012</v>
      </c>
      <c r="K92" s="166">
        <v>124375.00000000001</v>
      </c>
      <c r="L92" s="167">
        <f t="shared" si="51"/>
        <v>248750.00000000003</v>
      </c>
      <c r="M92" s="152"/>
      <c r="N92" s="153"/>
      <c r="O92" s="153"/>
      <c r="P92" s="154"/>
      <c r="Q92" s="166">
        <v>358400</v>
      </c>
      <c r="R92" s="167">
        <f t="shared" si="57"/>
        <v>716800</v>
      </c>
      <c r="S92" s="152"/>
      <c r="T92" s="153"/>
      <c r="U92" s="168">
        <f t="shared" si="52"/>
        <v>458500.00000000006</v>
      </c>
      <c r="V92" s="167">
        <f t="shared" si="53"/>
        <v>248750.00000000003</v>
      </c>
      <c r="W92" s="163">
        <f t="shared" si="54"/>
        <v>458500.00000000012</v>
      </c>
      <c r="X92" s="169">
        <f t="shared" si="55"/>
        <v>407709.68531542155</v>
      </c>
      <c r="Y92" s="170"/>
      <c r="Z92" s="171">
        <f t="shared" si="56"/>
        <v>458500.00000000006</v>
      </c>
    </row>
    <row r="93" spans="1:26" ht="27.75" customHeight="1" x14ac:dyDescent="0.15">
      <c r="A93" s="208">
        <v>78</v>
      </c>
      <c r="B93" s="161" t="s">
        <v>189</v>
      </c>
      <c r="C93" s="161" t="s">
        <v>188</v>
      </c>
      <c r="D93" s="209" t="s">
        <v>107</v>
      </c>
      <c r="E93" s="224">
        <v>3</v>
      </c>
      <c r="F93" s="160" t="s">
        <v>23</v>
      </c>
      <c r="G93" s="214">
        <v>77102</v>
      </c>
      <c r="H93" s="163">
        <f t="shared" si="23"/>
        <v>231306</v>
      </c>
      <c r="I93" s="176">
        <v>167700</v>
      </c>
      <c r="J93" s="165">
        <f t="shared" si="50"/>
        <v>503100</v>
      </c>
      <c r="K93" s="166">
        <v>69875</v>
      </c>
      <c r="L93" s="167">
        <f t="shared" si="51"/>
        <v>209625</v>
      </c>
      <c r="M93" s="166">
        <v>67433.333333333328</v>
      </c>
      <c r="N93" s="167">
        <f t="shared" si="32"/>
        <v>202300</v>
      </c>
      <c r="O93" s="153"/>
      <c r="P93" s="154"/>
      <c r="Q93" s="166">
        <v>62700</v>
      </c>
      <c r="R93" s="167">
        <f t="shared" si="57"/>
        <v>188100</v>
      </c>
      <c r="S93" s="152"/>
      <c r="T93" s="153"/>
      <c r="U93" s="168">
        <f t="shared" si="52"/>
        <v>305008.33333333331</v>
      </c>
      <c r="V93" s="167">
        <f t="shared" si="53"/>
        <v>202300</v>
      </c>
      <c r="W93" s="163">
        <f t="shared" si="54"/>
        <v>209625</v>
      </c>
      <c r="X93" s="169">
        <f t="shared" si="55"/>
        <v>277351.86586089258</v>
      </c>
      <c r="Y93" s="170"/>
      <c r="Z93" s="171">
        <f t="shared" si="56"/>
        <v>305008.33333333331</v>
      </c>
    </row>
    <row r="94" spans="1:26" ht="27.75" customHeight="1" x14ac:dyDescent="0.15">
      <c r="A94" s="208">
        <v>79</v>
      </c>
      <c r="B94" s="161" t="s">
        <v>190</v>
      </c>
      <c r="C94" s="161" t="s">
        <v>191</v>
      </c>
      <c r="D94" s="209" t="s">
        <v>107</v>
      </c>
      <c r="E94" s="224">
        <v>5</v>
      </c>
      <c r="F94" s="160" t="s">
        <v>23</v>
      </c>
      <c r="G94" s="214">
        <v>33714</v>
      </c>
      <c r="H94" s="163">
        <f t="shared" si="23"/>
        <v>168570</v>
      </c>
      <c r="I94" s="176">
        <v>77700</v>
      </c>
      <c r="J94" s="165">
        <f t="shared" si="50"/>
        <v>388500</v>
      </c>
      <c r="K94" s="166">
        <v>32375.000000000004</v>
      </c>
      <c r="L94" s="167">
        <f t="shared" si="51"/>
        <v>161875.00000000003</v>
      </c>
      <c r="M94" s="152"/>
      <c r="N94" s="153"/>
      <c r="O94" s="153"/>
      <c r="P94" s="154"/>
      <c r="Q94" s="166">
        <v>25800</v>
      </c>
      <c r="R94" s="167">
        <f t="shared" si="57"/>
        <v>129000</v>
      </c>
      <c r="S94" s="152"/>
      <c r="T94" s="153"/>
      <c r="U94" s="168">
        <f t="shared" si="52"/>
        <v>275187.5</v>
      </c>
      <c r="V94" s="167">
        <f t="shared" si="53"/>
        <v>161875.00000000003</v>
      </c>
      <c r="W94" s="163">
        <f t="shared" si="54"/>
        <v>275187.5</v>
      </c>
      <c r="X94" s="169">
        <f t="shared" si="55"/>
        <v>250775.67166693026</v>
      </c>
      <c r="Y94" s="170"/>
      <c r="Z94" s="171">
        <f t="shared" si="56"/>
        <v>275187.5</v>
      </c>
    </row>
    <row r="95" spans="1:26" ht="27.75" customHeight="1" x14ac:dyDescent="0.15">
      <c r="A95" s="208">
        <v>80</v>
      </c>
      <c r="B95" s="161" t="s">
        <v>192</v>
      </c>
      <c r="C95" s="161" t="s">
        <v>193</v>
      </c>
      <c r="D95" s="209" t="s">
        <v>107</v>
      </c>
      <c r="E95" s="224">
        <v>2</v>
      </c>
      <c r="F95" s="160" t="s">
        <v>23</v>
      </c>
      <c r="G95" s="214">
        <v>15452</v>
      </c>
      <c r="H95" s="163">
        <f t="shared" si="23"/>
        <v>30904</v>
      </c>
      <c r="I95" s="167">
        <v>34500</v>
      </c>
      <c r="J95" s="165">
        <f t="shared" si="50"/>
        <v>69000</v>
      </c>
      <c r="K95" s="166">
        <v>50625</v>
      </c>
      <c r="L95" s="167">
        <f t="shared" si="51"/>
        <v>101250</v>
      </c>
      <c r="M95" s="166">
        <v>23006.666666666664</v>
      </c>
      <c r="N95" s="167">
        <f t="shared" si="32"/>
        <v>46013.333333333328</v>
      </c>
      <c r="O95" s="153"/>
      <c r="P95" s="154"/>
      <c r="Q95" s="166">
        <v>12100</v>
      </c>
      <c r="R95" s="167">
        <f t="shared" si="57"/>
        <v>24200</v>
      </c>
      <c r="S95" s="152"/>
      <c r="T95" s="153"/>
      <c r="U95" s="168">
        <f t="shared" si="52"/>
        <v>72087.777777777766</v>
      </c>
      <c r="V95" s="167">
        <f t="shared" si="53"/>
        <v>46013.333333333328</v>
      </c>
      <c r="W95" s="163">
        <f t="shared" si="54"/>
        <v>69000</v>
      </c>
      <c r="X95" s="169">
        <f t="shared" si="55"/>
        <v>68502.949772631197</v>
      </c>
      <c r="Y95" s="170"/>
      <c r="Z95" s="171">
        <f t="shared" si="56"/>
        <v>72087.777777777766</v>
      </c>
    </row>
    <row r="96" spans="1:26" ht="27.75" customHeight="1" x14ac:dyDescent="0.15">
      <c r="A96" s="208">
        <v>81</v>
      </c>
      <c r="B96" s="161" t="s">
        <v>194</v>
      </c>
      <c r="C96" s="161" t="s">
        <v>195</v>
      </c>
      <c r="D96" s="162" t="s">
        <v>22</v>
      </c>
      <c r="E96" s="224">
        <v>4</v>
      </c>
      <c r="F96" s="160" t="s">
        <v>23</v>
      </c>
      <c r="G96" s="214">
        <v>67456</v>
      </c>
      <c r="H96" s="163">
        <f t="shared" si="23"/>
        <v>269824</v>
      </c>
      <c r="I96" s="167">
        <v>238239</v>
      </c>
      <c r="J96" s="165">
        <f t="shared" si="50"/>
        <v>952956</v>
      </c>
      <c r="K96" s="166">
        <v>52375</v>
      </c>
      <c r="L96" s="167">
        <f t="shared" si="51"/>
        <v>209500</v>
      </c>
      <c r="M96" s="166">
        <v>34113.333333333336</v>
      </c>
      <c r="N96" s="167">
        <f t="shared" si="32"/>
        <v>136453.33333333334</v>
      </c>
      <c r="O96" s="153"/>
      <c r="P96" s="154"/>
      <c r="Q96" s="166">
        <v>88800</v>
      </c>
      <c r="R96" s="167">
        <f t="shared" si="57"/>
        <v>355200</v>
      </c>
      <c r="S96" s="152"/>
      <c r="T96" s="153"/>
      <c r="U96" s="156">
        <f t="shared" si="52"/>
        <v>432969.77777777775</v>
      </c>
      <c r="V96" s="167">
        <f t="shared" si="53"/>
        <v>136453.33333333334</v>
      </c>
      <c r="W96" s="163">
        <f t="shared" si="54"/>
        <v>209500</v>
      </c>
      <c r="X96" s="169">
        <f t="shared" si="55"/>
        <v>300894.10210504202</v>
      </c>
      <c r="Y96" s="170"/>
      <c r="Z96" s="171">
        <f>R96</f>
        <v>355200</v>
      </c>
    </row>
    <row r="97" spans="1:27" ht="27.75" customHeight="1" x14ac:dyDescent="0.15">
      <c r="A97" s="208">
        <v>82</v>
      </c>
      <c r="B97" s="161" t="s">
        <v>229</v>
      </c>
      <c r="C97" s="161" t="s">
        <v>197</v>
      </c>
      <c r="D97" s="162" t="s">
        <v>22</v>
      </c>
      <c r="E97" s="224">
        <v>5</v>
      </c>
      <c r="F97" s="160" t="s">
        <v>23</v>
      </c>
      <c r="G97" s="214">
        <v>48221</v>
      </c>
      <c r="H97" s="163">
        <f t="shared" si="23"/>
        <v>241105</v>
      </c>
      <c r="I97" s="156">
        <v>41125.000000000007</v>
      </c>
      <c r="J97" s="151">
        <f t="shared" si="50"/>
        <v>205625.00000000003</v>
      </c>
      <c r="K97" s="152"/>
      <c r="L97" s="153"/>
      <c r="M97" s="152"/>
      <c r="N97" s="153"/>
      <c r="O97" s="153"/>
      <c r="P97" s="154"/>
      <c r="Q97" s="155">
        <v>21400</v>
      </c>
      <c r="R97" s="167">
        <f t="shared" si="57"/>
        <v>107000</v>
      </c>
      <c r="S97" s="152"/>
      <c r="T97" s="153"/>
      <c r="U97" s="156"/>
      <c r="V97" s="167">
        <f t="shared" si="53"/>
        <v>205625.00000000003</v>
      </c>
      <c r="W97" s="163">
        <f t="shared" si="54"/>
        <v>205625.00000000003</v>
      </c>
      <c r="X97" s="169">
        <f t="shared" si="55"/>
        <v>205625.00000000003</v>
      </c>
      <c r="Y97" s="172">
        <f>R97</f>
        <v>107000</v>
      </c>
      <c r="Z97" s="171">
        <f>Y97</f>
        <v>107000</v>
      </c>
    </row>
    <row r="98" spans="1:27" ht="27.75" customHeight="1" x14ac:dyDescent="0.15">
      <c r="A98" s="208">
        <v>83</v>
      </c>
      <c r="B98" s="161" t="s">
        <v>198</v>
      </c>
      <c r="C98" s="161" t="s">
        <v>199</v>
      </c>
      <c r="D98" s="162" t="s">
        <v>22</v>
      </c>
      <c r="E98" s="224">
        <v>7</v>
      </c>
      <c r="F98" s="160" t="s">
        <v>23</v>
      </c>
      <c r="G98" s="214">
        <v>120114</v>
      </c>
      <c r="H98" s="163">
        <f t="shared" si="23"/>
        <v>840798</v>
      </c>
      <c r="I98" s="176">
        <v>254700.00000000003</v>
      </c>
      <c r="J98" s="165">
        <f t="shared" si="50"/>
        <v>1782900.0000000002</v>
      </c>
      <c r="K98" s="166">
        <v>106125</v>
      </c>
      <c r="L98" s="167">
        <f t="shared" si="51"/>
        <v>742875</v>
      </c>
      <c r="M98" s="166">
        <v>95517.333333333343</v>
      </c>
      <c r="N98" s="167">
        <f t="shared" si="32"/>
        <v>668621.33333333337</v>
      </c>
      <c r="O98" s="153"/>
      <c r="P98" s="154"/>
      <c r="Q98" s="166">
        <v>95100</v>
      </c>
      <c r="R98" s="167">
        <f t="shared" si="57"/>
        <v>665700</v>
      </c>
      <c r="S98" s="152"/>
      <c r="T98" s="153"/>
      <c r="U98" s="156">
        <f>AVERAGE(J98,L98,N98)</f>
        <v>1064798.7777777778</v>
      </c>
      <c r="V98" s="167">
        <f t="shared" si="53"/>
        <v>668621.33333333337</v>
      </c>
      <c r="W98" s="163">
        <f t="shared" si="54"/>
        <v>742875</v>
      </c>
      <c r="X98" s="179">
        <f t="shared" si="55"/>
        <v>960301.60009835148</v>
      </c>
      <c r="Y98" s="170"/>
      <c r="Z98" s="171">
        <f>X98</f>
        <v>960301.60009835148</v>
      </c>
    </row>
    <row r="99" spans="1:27" ht="27.75" customHeight="1" x14ac:dyDescent="0.15">
      <c r="A99" s="293" t="s">
        <v>200</v>
      </c>
      <c r="B99" s="294"/>
      <c r="C99" s="294"/>
      <c r="D99" s="294"/>
      <c r="E99" s="295"/>
      <c r="F99" s="218"/>
      <c r="G99" s="143"/>
      <c r="H99" s="143">
        <f t="shared" ref="H99:X99" si="58">SUM(H100:H101)</f>
        <v>10200125</v>
      </c>
      <c r="I99" s="143">
        <f t="shared" si="58"/>
        <v>345375</v>
      </c>
      <c r="J99" s="143">
        <f t="shared" si="58"/>
        <v>345375</v>
      </c>
      <c r="K99" s="143">
        <f t="shared" si="58"/>
        <v>256125</v>
      </c>
      <c r="L99" s="143">
        <f t="shared" si="58"/>
        <v>256125</v>
      </c>
      <c r="M99" s="143">
        <f t="shared" si="58"/>
        <v>0</v>
      </c>
      <c r="N99" s="143">
        <f t="shared" si="58"/>
        <v>0</v>
      </c>
      <c r="O99" s="143"/>
      <c r="P99" s="143"/>
      <c r="Q99" s="143"/>
      <c r="R99" s="143"/>
      <c r="S99" s="143"/>
      <c r="T99" s="143"/>
      <c r="U99" s="143">
        <f t="shared" si="58"/>
        <v>300750</v>
      </c>
      <c r="V99" s="143">
        <f t="shared" si="58"/>
        <v>157500</v>
      </c>
      <c r="W99" s="143">
        <f t="shared" si="58"/>
        <v>300750</v>
      </c>
      <c r="X99" s="144">
        <f t="shared" si="58"/>
        <v>253904.59988130152</v>
      </c>
      <c r="Y99" s="145"/>
      <c r="Z99" s="146">
        <f>SUM(Z100:Z101)</f>
        <v>3671687.5</v>
      </c>
    </row>
    <row r="100" spans="1:27" ht="27.75" customHeight="1" x14ac:dyDescent="0.15">
      <c r="A100" s="208">
        <v>84</v>
      </c>
      <c r="B100" s="161" t="s">
        <v>201</v>
      </c>
      <c r="C100" s="161" t="s">
        <v>202</v>
      </c>
      <c r="D100" s="162" t="s">
        <v>22</v>
      </c>
      <c r="E100" s="224">
        <v>1</v>
      </c>
      <c r="F100" s="160" t="s">
        <v>31</v>
      </c>
      <c r="G100" s="163">
        <v>10100125</v>
      </c>
      <c r="H100" s="214">
        <f t="shared" si="23"/>
        <v>10100125</v>
      </c>
      <c r="I100" s="186">
        <v>120000</v>
      </c>
      <c r="J100" s="165">
        <f t="shared" ref="J100:J101" si="59">+I100*E100</f>
        <v>120000</v>
      </c>
      <c r="K100" s="166">
        <v>218625</v>
      </c>
      <c r="L100" s="167">
        <f t="shared" ref="L100:L101" si="60">+K100*E100</f>
        <v>218625</v>
      </c>
      <c r="M100" s="152"/>
      <c r="N100" s="153"/>
      <c r="O100" s="156">
        <v>3540250</v>
      </c>
      <c r="P100" s="151">
        <f>O100*E100</f>
        <v>3540250</v>
      </c>
      <c r="Q100" s="152"/>
      <c r="R100" s="153"/>
      <c r="S100" s="166">
        <v>16660000</v>
      </c>
      <c r="T100" s="167">
        <f>S100*E100</f>
        <v>16660000</v>
      </c>
      <c r="U100" s="156">
        <f>AVERAGE(J100,L100,N100)</f>
        <v>169312.5</v>
      </c>
      <c r="V100" s="167">
        <f>+MIN(J100,L100,N100)</f>
        <v>120000</v>
      </c>
      <c r="W100" s="163">
        <f>MEDIAN(J100,L100,N100)</f>
        <v>169312.5</v>
      </c>
      <c r="X100" s="169">
        <f>GEOMEAN(J100,L100,N100)</f>
        <v>161972.21984031706</v>
      </c>
      <c r="Y100" s="172">
        <f>P100</f>
        <v>3540250</v>
      </c>
      <c r="Z100" s="171">
        <f>Y100</f>
        <v>3540250</v>
      </c>
    </row>
    <row r="101" spans="1:27" ht="27.75" customHeight="1" x14ac:dyDescent="0.15">
      <c r="A101" s="208">
        <v>85</v>
      </c>
      <c r="B101" s="161" t="s">
        <v>203</v>
      </c>
      <c r="C101" s="161" t="s">
        <v>204</v>
      </c>
      <c r="D101" s="162" t="s">
        <v>22</v>
      </c>
      <c r="E101" s="224">
        <v>1</v>
      </c>
      <c r="F101" s="160" t="s">
        <v>23</v>
      </c>
      <c r="G101" s="214">
        <v>100000</v>
      </c>
      <c r="H101" s="163">
        <f t="shared" si="23"/>
        <v>100000</v>
      </c>
      <c r="I101" s="153">
        <v>225375</v>
      </c>
      <c r="J101" s="154">
        <f t="shared" si="59"/>
        <v>225375</v>
      </c>
      <c r="K101" s="152">
        <v>37500</v>
      </c>
      <c r="L101" s="153">
        <f t="shared" si="60"/>
        <v>37500</v>
      </c>
      <c r="M101" s="152"/>
      <c r="N101" s="153"/>
      <c r="O101" s="153"/>
      <c r="P101" s="154"/>
      <c r="Q101" s="155">
        <v>33600</v>
      </c>
      <c r="R101" s="167">
        <f t="shared" ref="R101:R111" si="61">Q101*E101</f>
        <v>33600</v>
      </c>
      <c r="S101" s="152"/>
      <c r="T101" s="153"/>
      <c r="U101" s="168">
        <f>AVERAGE(J101,L101,N101)</f>
        <v>131437.5</v>
      </c>
      <c r="V101" s="167">
        <f>+MIN(J101,L101,N101)</f>
        <v>37500</v>
      </c>
      <c r="W101" s="163">
        <f>MEDIAN(J101,L101,N101)</f>
        <v>131437.5</v>
      </c>
      <c r="X101" s="169">
        <f>GEOMEAN(J101,L101,N101)</f>
        <v>91932.38004098447</v>
      </c>
      <c r="Y101" s="170"/>
      <c r="Z101" s="171">
        <f>U101</f>
        <v>131437.5</v>
      </c>
    </row>
    <row r="102" spans="1:27" ht="27.75" customHeight="1" x14ac:dyDescent="0.15">
      <c r="A102" s="293" t="s">
        <v>205</v>
      </c>
      <c r="B102" s="294"/>
      <c r="C102" s="294"/>
      <c r="D102" s="294"/>
      <c r="E102" s="295"/>
      <c r="F102" s="218"/>
      <c r="G102" s="143"/>
      <c r="H102" s="143">
        <f t="shared" ref="H102" si="62">+H103</f>
        <v>120000</v>
      </c>
      <c r="I102" s="143">
        <f>+I103</f>
        <v>98700</v>
      </c>
      <c r="J102" s="143">
        <f t="shared" ref="J102:Z102" si="63">+J103</f>
        <v>98700</v>
      </c>
      <c r="K102" s="143">
        <f t="shared" si="63"/>
        <v>41125.000000000007</v>
      </c>
      <c r="L102" s="143">
        <f t="shared" si="63"/>
        <v>41125.000000000007</v>
      </c>
      <c r="M102" s="143">
        <f t="shared" si="63"/>
        <v>45696</v>
      </c>
      <c r="N102" s="143">
        <f t="shared" si="63"/>
        <v>45696</v>
      </c>
      <c r="O102" s="143"/>
      <c r="P102" s="143"/>
      <c r="Q102" s="143"/>
      <c r="R102" s="143"/>
      <c r="S102" s="143"/>
      <c r="T102" s="143"/>
      <c r="U102" s="143">
        <f t="shared" si="63"/>
        <v>61840.333333333336</v>
      </c>
      <c r="V102" s="143">
        <f t="shared" si="63"/>
        <v>41125.000000000007</v>
      </c>
      <c r="W102" s="143">
        <f t="shared" si="63"/>
        <v>45696</v>
      </c>
      <c r="X102" s="144">
        <f t="shared" si="63"/>
        <v>57029.611945185839</v>
      </c>
      <c r="Y102" s="145"/>
      <c r="Z102" s="146">
        <f t="shared" si="63"/>
        <v>61840.333333333336</v>
      </c>
    </row>
    <row r="103" spans="1:27" ht="27.75" customHeight="1" x14ac:dyDescent="0.15">
      <c r="A103" s="208">
        <v>86</v>
      </c>
      <c r="B103" s="161" t="s">
        <v>312</v>
      </c>
      <c r="C103" s="161" t="s">
        <v>207</v>
      </c>
      <c r="D103" s="162" t="s">
        <v>22</v>
      </c>
      <c r="E103" s="224">
        <v>1</v>
      </c>
      <c r="F103" s="160" t="s">
        <v>23</v>
      </c>
      <c r="G103" s="214">
        <v>120000</v>
      </c>
      <c r="H103" s="163">
        <f t="shared" si="23"/>
        <v>120000</v>
      </c>
      <c r="I103" s="167">
        <v>98700</v>
      </c>
      <c r="J103" s="165">
        <f t="shared" ref="J103" si="64">+I103*E103</f>
        <v>98700</v>
      </c>
      <c r="K103" s="166">
        <v>41125.000000000007</v>
      </c>
      <c r="L103" s="167">
        <f>+K103*E103</f>
        <v>41125.000000000007</v>
      </c>
      <c r="M103" s="166">
        <v>45696</v>
      </c>
      <c r="N103" s="167">
        <f t="shared" si="32"/>
        <v>45696</v>
      </c>
      <c r="O103" s="153"/>
      <c r="P103" s="154"/>
      <c r="Q103" s="166">
        <v>36900</v>
      </c>
      <c r="R103" s="167">
        <f t="shared" si="61"/>
        <v>36900</v>
      </c>
      <c r="S103" s="152"/>
      <c r="T103" s="153"/>
      <c r="U103" s="168">
        <f>AVERAGE(J103,L103,N103)</f>
        <v>61840.333333333336</v>
      </c>
      <c r="V103" s="167">
        <f>+MIN(J103,L103,N103)</f>
        <v>41125.000000000007</v>
      </c>
      <c r="W103" s="163">
        <f>MEDIAN(J103,L103,N103)</f>
        <v>45696</v>
      </c>
      <c r="X103" s="169">
        <f>GEOMEAN(J103,L103,N103)</f>
        <v>57029.611945185839</v>
      </c>
      <c r="Y103" s="170"/>
      <c r="Z103" s="171">
        <f>U103</f>
        <v>61840.333333333336</v>
      </c>
    </row>
    <row r="104" spans="1:27" ht="27.75" customHeight="1" x14ac:dyDescent="0.15">
      <c r="A104" s="293" t="s">
        <v>208</v>
      </c>
      <c r="B104" s="294"/>
      <c r="C104" s="294"/>
      <c r="D104" s="294"/>
      <c r="E104" s="295"/>
      <c r="F104" s="218"/>
      <c r="G104" s="143"/>
      <c r="H104" s="143">
        <f t="shared" ref="H104" si="65">+H105</f>
        <v>2099999.9699999997</v>
      </c>
      <c r="I104" s="143">
        <f>+I105</f>
        <v>1017000</v>
      </c>
      <c r="J104" s="143">
        <f t="shared" ref="J104:Z104" si="66">+J105</f>
        <v>9153000</v>
      </c>
      <c r="K104" s="143">
        <f t="shared" si="66"/>
        <v>62375</v>
      </c>
      <c r="L104" s="143">
        <f t="shared" si="66"/>
        <v>561375</v>
      </c>
      <c r="M104" s="143">
        <f t="shared" si="66"/>
        <v>157873.33333333331</v>
      </c>
      <c r="N104" s="143">
        <f t="shared" si="66"/>
        <v>1420859.9999999998</v>
      </c>
      <c r="O104" s="143"/>
      <c r="P104" s="143"/>
      <c r="Q104" s="143"/>
      <c r="R104" s="143"/>
      <c r="S104" s="143"/>
      <c r="T104" s="143"/>
      <c r="U104" s="143">
        <f t="shared" si="66"/>
        <v>3711745</v>
      </c>
      <c r="V104" s="143">
        <f t="shared" si="66"/>
        <v>561375</v>
      </c>
      <c r="W104" s="143">
        <f t="shared" si="66"/>
        <v>1420859.9999999998</v>
      </c>
      <c r="X104" s="144">
        <f t="shared" si="66"/>
        <v>1939944.3549351487</v>
      </c>
      <c r="Y104" s="145"/>
      <c r="Z104" s="146">
        <f t="shared" si="66"/>
        <v>1612800</v>
      </c>
    </row>
    <row r="105" spans="1:27" ht="27.75" customHeight="1" x14ac:dyDescent="0.15">
      <c r="A105" s="208">
        <v>87</v>
      </c>
      <c r="B105" s="161" t="s">
        <v>209</v>
      </c>
      <c r="C105" s="161" t="s">
        <v>210</v>
      </c>
      <c r="D105" s="162" t="s">
        <v>22</v>
      </c>
      <c r="E105" s="224">
        <v>9</v>
      </c>
      <c r="F105" s="160" t="s">
        <v>23</v>
      </c>
      <c r="G105" s="214">
        <v>233333.33</v>
      </c>
      <c r="H105" s="163">
        <f t="shared" si="23"/>
        <v>2099999.9699999997</v>
      </c>
      <c r="I105" s="176">
        <v>1017000</v>
      </c>
      <c r="J105" s="165">
        <f t="shared" ref="J105" si="67">+I105*E105</f>
        <v>9153000</v>
      </c>
      <c r="K105" s="166">
        <v>62375</v>
      </c>
      <c r="L105" s="167">
        <f>+K105*E105</f>
        <v>561375</v>
      </c>
      <c r="M105" s="166">
        <v>157873.33333333331</v>
      </c>
      <c r="N105" s="167">
        <f t="shared" si="32"/>
        <v>1420859.9999999998</v>
      </c>
      <c r="O105" s="153"/>
      <c r="P105" s="154"/>
      <c r="Q105" s="155">
        <v>179200</v>
      </c>
      <c r="R105" s="156">
        <f t="shared" si="61"/>
        <v>1612800</v>
      </c>
      <c r="S105" s="152"/>
      <c r="T105" s="153"/>
      <c r="U105" s="156">
        <f>AVERAGE(J105,L105,N105)</f>
        <v>3711745</v>
      </c>
      <c r="V105" s="167">
        <f>+MIN(J105,L105,N105)</f>
        <v>561375</v>
      </c>
      <c r="W105" s="163">
        <f>MEDIAN(J105,L105,N105)</f>
        <v>1420859.9999999998</v>
      </c>
      <c r="X105" s="169">
        <f>GEOMEAN(J105,L105,N105)</f>
        <v>1939944.3549351487</v>
      </c>
      <c r="Y105" s="172">
        <f>R105</f>
        <v>1612800</v>
      </c>
      <c r="Z105" s="171">
        <f>Y105</f>
        <v>1612800</v>
      </c>
    </row>
    <row r="106" spans="1:27" ht="52.5" customHeight="1" x14ac:dyDescent="0.15">
      <c r="A106" s="293" t="s">
        <v>211</v>
      </c>
      <c r="B106" s="294"/>
      <c r="C106" s="294"/>
      <c r="D106" s="294"/>
      <c r="E106" s="295"/>
      <c r="F106" s="218"/>
      <c r="G106" s="143"/>
      <c r="H106" s="143">
        <f t="shared" ref="H106:X106" si="68">SUM(H107:H111)</f>
        <v>1150000</v>
      </c>
      <c r="I106" s="143">
        <f t="shared" si="68"/>
        <v>2463600</v>
      </c>
      <c r="J106" s="143">
        <f t="shared" si="68"/>
        <v>4574100</v>
      </c>
      <c r="K106" s="143">
        <f t="shared" si="68"/>
        <v>523000</v>
      </c>
      <c r="L106" s="143">
        <f t="shared" si="68"/>
        <v>754000</v>
      </c>
      <c r="M106" s="143">
        <f t="shared" si="68"/>
        <v>370804.00000000006</v>
      </c>
      <c r="N106" s="143">
        <f t="shared" si="68"/>
        <v>525504.00000000012</v>
      </c>
      <c r="O106" s="143"/>
      <c r="P106" s="143"/>
      <c r="Q106" s="143"/>
      <c r="R106" s="143"/>
      <c r="S106" s="143"/>
      <c r="T106" s="143"/>
      <c r="U106" s="143">
        <f t="shared" si="68"/>
        <v>2075430.5000000002</v>
      </c>
      <c r="V106" s="143">
        <f t="shared" si="68"/>
        <v>640091.66666666674</v>
      </c>
      <c r="W106" s="143">
        <f t="shared" si="68"/>
        <v>1012099.8333333334</v>
      </c>
      <c r="X106" s="144">
        <f t="shared" si="68"/>
        <v>1317567.434015322</v>
      </c>
      <c r="Y106" s="145"/>
      <c r="Z106" s="146">
        <f>SUM(Z107:Z111)</f>
        <v>1096976.7664124374</v>
      </c>
    </row>
    <row r="107" spans="1:27" ht="27.75" customHeight="1" x14ac:dyDescent="0.15">
      <c r="A107" s="208">
        <v>88</v>
      </c>
      <c r="B107" s="161" t="s">
        <v>212</v>
      </c>
      <c r="C107" s="161" t="s">
        <v>213</v>
      </c>
      <c r="D107" s="162" t="s">
        <v>22</v>
      </c>
      <c r="E107" s="224">
        <v>1</v>
      </c>
      <c r="F107" s="160" t="s">
        <v>23</v>
      </c>
      <c r="G107" s="214">
        <v>159000</v>
      </c>
      <c r="H107" s="163">
        <f t="shared" si="23"/>
        <v>159000</v>
      </c>
      <c r="I107" s="176">
        <v>218700</v>
      </c>
      <c r="J107" s="165">
        <f t="shared" ref="J107:J111" si="69">+I107*E107</f>
        <v>218700</v>
      </c>
      <c r="K107" s="155">
        <v>91125.000000000015</v>
      </c>
      <c r="L107" s="167">
        <f t="shared" ref="L107:L111" si="70">+K107*E107</f>
        <v>91125.000000000015</v>
      </c>
      <c r="M107" s="155">
        <v>95517.333333333343</v>
      </c>
      <c r="N107" s="167">
        <f t="shared" si="32"/>
        <v>95517.333333333343</v>
      </c>
      <c r="O107" s="153"/>
      <c r="P107" s="154"/>
      <c r="Q107" s="155">
        <v>162300</v>
      </c>
      <c r="R107" s="156">
        <f t="shared" si="61"/>
        <v>162300</v>
      </c>
      <c r="S107" s="152"/>
      <c r="T107" s="153"/>
      <c r="U107" s="168">
        <f>AVERAGE(J107,L107,N107)</f>
        <v>135114.11111111112</v>
      </c>
      <c r="V107" s="167">
        <f>+MIN(J107,L107,N107)</f>
        <v>91125.000000000015</v>
      </c>
      <c r="W107" s="163">
        <f>MEDIAN(J107,L107,N107)</f>
        <v>95517.333333333343</v>
      </c>
      <c r="X107" s="169">
        <f>GEOMEAN(J107,L107,N107)</f>
        <v>123933.72537820882</v>
      </c>
      <c r="Y107" s="145"/>
      <c r="Z107" s="171">
        <f>U107</f>
        <v>135114.11111111112</v>
      </c>
    </row>
    <row r="108" spans="1:27" s="138" customFormat="1" ht="27.75" customHeight="1" x14ac:dyDescent="0.15">
      <c r="A108" s="208">
        <v>89</v>
      </c>
      <c r="B108" s="148" t="s">
        <v>214</v>
      </c>
      <c r="C108" s="148" t="s">
        <v>215</v>
      </c>
      <c r="D108" s="149" t="s">
        <v>22</v>
      </c>
      <c r="E108" s="224">
        <v>5</v>
      </c>
      <c r="F108" s="147" t="s">
        <v>23</v>
      </c>
      <c r="G108" s="214">
        <v>39000</v>
      </c>
      <c r="H108" s="163">
        <f t="shared" si="23"/>
        <v>195000</v>
      </c>
      <c r="I108" s="176">
        <v>473700.00000000006</v>
      </c>
      <c r="J108" s="151">
        <f t="shared" si="69"/>
        <v>2368500.0000000005</v>
      </c>
      <c r="K108" s="155">
        <v>47375.000000000007</v>
      </c>
      <c r="L108" s="156">
        <f t="shared" si="70"/>
        <v>236875.00000000003</v>
      </c>
      <c r="M108" s="155">
        <v>24593.333333333336</v>
      </c>
      <c r="N108" s="156">
        <f t="shared" si="32"/>
        <v>122966.66666666669</v>
      </c>
      <c r="O108" s="153"/>
      <c r="P108" s="154"/>
      <c r="Q108" s="155">
        <v>38000</v>
      </c>
      <c r="R108" s="156">
        <f t="shared" si="61"/>
        <v>190000</v>
      </c>
      <c r="S108" s="152"/>
      <c r="T108" s="153"/>
      <c r="U108" s="156">
        <f>AVERAGE(J108,L108,N108)</f>
        <v>909447.22222222236</v>
      </c>
      <c r="V108" s="156">
        <f>+MIN(J108,L108,N108)</f>
        <v>122966.66666666669</v>
      </c>
      <c r="W108" s="172">
        <f>MEDIAN(J108,L108,N108)</f>
        <v>236875.00000000003</v>
      </c>
      <c r="X108" s="157">
        <f>GEOMEAN(J108,L108,N108)</f>
        <v>410134.84862639481</v>
      </c>
      <c r="Y108" s="174"/>
      <c r="Z108" s="159">
        <f>W108</f>
        <v>236875.00000000003</v>
      </c>
    </row>
    <row r="109" spans="1:27" ht="27.75" customHeight="1" x14ac:dyDescent="0.15">
      <c r="A109" s="208">
        <v>90</v>
      </c>
      <c r="B109" s="161" t="s">
        <v>231</v>
      </c>
      <c r="C109" s="161" t="s">
        <v>217</v>
      </c>
      <c r="D109" s="162" t="s">
        <v>22</v>
      </c>
      <c r="E109" s="224">
        <v>1</v>
      </c>
      <c r="F109" s="160" t="s">
        <v>23</v>
      </c>
      <c r="G109" s="214">
        <v>236000</v>
      </c>
      <c r="H109" s="163">
        <f t="shared" si="23"/>
        <v>236000</v>
      </c>
      <c r="I109" s="176">
        <v>1050000</v>
      </c>
      <c r="J109" s="165">
        <f t="shared" si="69"/>
        <v>1050000</v>
      </c>
      <c r="K109" s="155">
        <v>103125</v>
      </c>
      <c r="L109" s="167">
        <f t="shared" si="70"/>
        <v>103125</v>
      </c>
      <c r="M109" s="155">
        <v>194366.66666666669</v>
      </c>
      <c r="N109" s="167">
        <f t="shared" si="32"/>
        <v>194366.66666666669</v>
      </c>
      <c r="O109" s="153"/>
      <c r="P109" s="154"/>
      <c r="Q109" s="155">
        <v>283400</v>
      </c>
      <c r="R109" s="156">
        <f t="shared" si="61"/>
        <v>283400</v>
      </c>
      <c r="S109" s="152"/>
      <c r="T109" s="153"/>
      <c r="U109" s="156">
        <f>AVERAGE(J109,L109,N109)</f>
        <v>449163.88888888893</v>
      </c>
      <c r="V109" s="156">
        <f>+MIN(J109,L109,N109)</f>
        <v>103125</v>
      </c>
      <c r="W109" s="163">
        <f>MEDIAN(J109,L109,N109)</f>
        <v>194366.66666666669</v>
      </c>
      <c r="X109" s="179">
        <f>GEOMEAN(J109,L109,N109)</f>
        <v>276094.87752354861</v>
      </c>
      <c r="Y109" s="145"/>
      <c r="Z109" s="171">
        <f>X109</f>
        <v>276094.87752354861</v>
      </c>
    </row>
    <row r="110" spans="1:27" ht="27.75" customHeight="1" x14ac:dyDescent="0.15">
      <c r="A110" s="208">
        <v>91</v>
      </c>
      <c r="B110" s="161" t="s">
        <v>232</v>
      </c>
      <c r="C110" s="161" t="s">
        <v>219</v>
      </c>
      <c r="D110" s="162" t="s">
        <v>22</v>
      </c>
      <c r="E110" s="224">
        <v>1</v>
      </c>
      <c r="F110" s="160" t="s">
        <v>23</v>
      </c>
      <c r="G110" s="214">
        <v>252000</v>
      </c>
      <c r="H110" s="163">
        <f t="shared" si="23"/>
        <v>252000</v>
      </c>
      <c r="I110" s="176">
        <v>505500</v>
      </c>
      <c r="J110" s="165">
        <f t="shared" si="69"/>
        <v>505500</v>
      </c>
      <c r="K110" s="155">
        <v>239875</v>
      </c>
      <c r="L110" s="167">
        <f t="shared" si="70"/>
        <v>239875</v>
      </c>
      <c r="M110" s="152"/>
      <c r="N110" s="153"/>
      <c r="O110" s="153"/>
      <c r="P110" s="154"/>
      <c r="Q110" s="155">
        <v>258800</v>
      </c>
      <c r="R110" s="156">
        <f t="shared" si="61"/>
        <v>258800</v>
      </c>
      <c r="S110" s="152"/>
      <c r="T110" s="153"/>
      <c r="U110" s="156">
        <f>AVERAGE(J110,L110,N110)</f>
        <v>372687.5</v>
      </c>
      <c r="V110" s="168">
        <f>+MIN(J110,L110,N110)</f>
        <v>239875</v>
      </c>
      <c r="W110" s="147">
        <f>MEDIAN(J110,L110,N110)</f>
        <v>372687.5</v>
      </c>
      <c r="X110" s="169">
        <f>GEOMEAN(J110,L110,N110)</f>
        <v>348219.4889721137</v>
      </c>
      <c r="Y110" s="145"/>
      <c r="Z110" s="171">
        <f>V110</f>
        <v>239875</v>
      </c>
    </row>
    <row r="111" spans="1:27" ht="27.75" customHeight="1" x14ac:dyDescent="0.15">
      <c r="A111" s="208">
        <v>92</v>
      </c>
      <c r="B111" s="161" t="s">
        <v>220</v>
      </c>
      <c r="C111" s="160" t="s">
        <v>221</v>
      </c>
      <c r="D111" s="162" t="s">
        <v>22</v>
      </c>
      <c r="E111" s="224">
        <v>2</v>
      </c>
      <c r="F111" s="160" t="s">
        <v>23</v>
      </c>
      <c r="G111" s="214">
        <v>154000</v>
      </c>
      <c r="H111" s="163">
        <f t="shared" si="23"/>
        <v>308000</v>
      </c>
      <c r="I111" s="176">
        <v>215700</v>
      </c>
      <c r="J111" s="165">
        <f t="shared" si="69"/>
        <v>431400</v>
      </c>
      <c r="K111" s="155">
        <v>41500</v>
      </c>
      <c r="L111" s="167">
        <f t="shared" si="70"/>
        <v>83000</v>
      </c>
      <c r="M111" s="155">
        <v>56326.666666666672</v>
      </c>
      <c r="N111" s="167">
        <f t="shared" si="32"/>
        <v>112653.33333333334</v>
      </c>
      <c r="O111" s="153"/>
      <c r="P111" s="154"/>
      <c r="Q111" s="155">
        <v>60400</v>
      </c>
      <c r="R111" s="156">
        <f t="shared" si="61"/>
        <v>120800</v>
      </c>
      <c r="S111" s="152"/>
      <c r="T111" s="153"/>
      <c r="U111" s="187">
        <f>AVERAGE(J111,L111,N111)</f>
        <v>209017.77777777778</v>
      </c>
      <c r="V111" s="188">
        <f>+MIN(J111,L111,N111)</f>
        <v>83000</v>
      </c>
      <c r="W111" s="189">
        <f>MEDIAN(J111,L111,N111)</f>
        <v>112653.33333333334</v>
      </c>
      <c r="X111" s="190">
        <f>GEOMEAN(J111,L111,N111)</f>
        <v>159184.49351505612</v>
      </c>
      <c r="Y111" s="145"/>
      <c r="Z111" s="191">
        <f>U111</f>
        <v>209017.77777777778</v>
      </c>
    </row>
    <row r="112" spans="1:27" ht="27.75" customHeight="1" x14ac:dyDescent="0.15">
      <c r="A112" s="200"/>
      <c r="B112" s="192"/>
      <c r="C112" s="192"/>
      <c r="D112" s="192"/>
      <c r="E112" s="200"/>
      <c r="F112" s="192"/>
      <c r="G112" s="193"/>
      <c r="H112" s="194">
        <f>H3+H5+H10+H16+H61+H64+H66+H71+H73+H78+H80+H82+H86+H99+H102+H104+H106</f>
        <v>226433461.97</v>
      </c>
      <c r="I112" s="194">
        <f>+I3+I5+I10+I16+I61+I64+I66+I71+I73+I78+I80+I82+I86+I99+I102+I104+I106</f>
        <v>141761667.24000001</v>
      </c>
      <c r="J112" s="194">
        <f t="shared" ref="J112:AA112" si="71">+J3+J5+J10+J16+J61+J64+J66+J71+J73+J78+J80+J82+J86+J99+J102+J104+J106</f>
        <v>225208371.87999997</v>
      </c>
      <c r="K112" s="194">
        <f t="shared" si="71"/>
        <v>239661462.56619045</v>
      </c>
      <c r="L112" s="194">
        <f t="shared" si="71"/>
        <v>463902617.39952379</v>
      </c>
      <c r="M112" s="194">
        <f t="shared" si="71"/>
        <v>48990105.6281</v>
      </c>
      <c r="N112" s="194">
        <f t="shared" si="71"/>
        <v>65669224.949533328</v>
      </c>
      <c r="O112" s="194">
        <f t="shared" si="71"/>
        <v>0</v>
      </c>
      <c r="P112" s="194">
        <f t="shared" si="71"/>
        <v>0</v>
      </c>
      <c r="Q112" s="194">
        <f t="shared" si="71"/>
        <v>3360000</v>
      </c>
      <c r="R112" s="194">
        <f t="shared" si="71"/>
        <v>3360000</v>
      </c>
      <c r="S112" s="194">
        <f t="shared" si="71"/>
        <v>0</v>
      </c>
      <c r="T112" s="194">
        <f t="shared" si="71"/>
        <v>0</v>
      </c>
      <c r="U112" s="195">
        <f t="shared" si="71"/>
        <v>351028663.67079681</v>
      </c>
      <c r="V112" s="195">
        <f t="shared" si="71"/>
        <v>73031930.746357143</v>
      </c>
      <c r="W112" s="195">
        <f t="shared" si="71"/>
        <v>328341935.61269993</v>
      </c>
      <c r="X112" s="196">
        <f t="shared" si="71"/>
        <v>123154081.14467505</v>
      </c>
      <c r="Y112" s="195">
        <f t="shared" si="71"/>
        <v>89598006.784689516</v>
      </c>
      <c r="Z112" s="197">
        <f t="shared" si="71"/>
        <v>202253796.01192608</v>
      </c>
      <c r="AA112" s="136">
        <f t="shared" si="71"/>
        <v>0</v>
      </c>
    </row>
    <row r="113" spans="8:8" ht="27.75" customHeight="1" x14ac:dyDescent="0.15">
      <c r="H113" s="140">
        <v>226433472</v>
      </c>
    </row>
    <row r="114" spans="8:8" ht="27.75" customHeight="1" x14ac:dyDescent="0.15">
      <c r="H114" s="140">
        <f>H112-H113</f>
        <v>-10.030000001192093</v>
      </c>
    </row>
    <row r="1048576" spans="8:8" ht="27.75" customHeight="1" x14ac:dyDescent="0.15">
      <c r="H1048576" s="135">
        <f t="shared" ref="H1048576" si="72">G1048576*E1048576</f>
        <v>0</v>
      </c>
    </row>
  </sheetData>
  <autoFilter ref="A2:AA114"/>
  <mergeCells count="37">
    <mergeCell ref="K1:L1"/>
    <mergeCell ref="M1:N1"/>
    <mergeCell ref="O1:P1"/>
    <mergeCell ref="A1:A2"/>
    <mergeCell ref="B1:B2"/>
    <mergeCell ref="C1:C2"/>
    <mergeCell ref="D1:D2"/>
    <mergeCell ref="E1:E2"/>
    <mergeCell ref="F1:F2"/>
    <mergeCell ref="A78:E78"/>
    <mergeCell ref="Y1:Y2"/>
    <mergeCell ref="Z1:Z2"/>
    <mergeCell ref="A3:E3"/>
    <mergeCell ref="A5:E5"/>
    <mergeCell ref="A10:E10"/>
    <mergeCell ref="A16:E16"/>
    <mergeCell ref="Q1:R1"/>
    <mergeCell ref="S1:T1"/>
    <mergeCell ref="U1:U2"/>
    <mergeCell ref="V1:V2"/>
    <mergeCell ref="W1:W2"/>
    <mergeCell ref="X1:X2"/>
    <mergeCell ref="G1:G2"/>
    <mergeCell ref="H1:H2"/>
    <mergeCell ref="I1:J1"/>
    <mergeCell ref="A61:E61"/>
    <mergeCell ref="A64:E64"/>
    <mergeCell ref="A66:E66"/>
    <mergeCell ref="A71:E71"/>
    <mergeCell ref="A73:E73"/>
    <mergeCell ref="A106:E106"/>
    <mergeCell ref="A80:E80"/>
    <mergeCell ref="A82:E82"/>
    <mergeCell ref="A86:E86"/>
    <mergeCell ref="A99:E99"/>
    <mergeCell ref="A102:E102"/>
    <mergeCell ref="A104:E104"/>
  </mergeCells>
  <pageMargins left="0.7" right="0.7" top="0.75" bottom="0.75" header="0.3" footer="0.3"/>
  <pageSetup scale="29" orientation="portrait" r:id="rId1"/>
  <colBreaks count="1" manualBreakCount="1">
    <brk id="20" max="1048575" man="1"/>
  </col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59999389629810485"/>
  </sheetPr>
  <dimension ref="A1:AE1048503"/>
  <sheetViews>
    <sheetView view="pageBreakPreview" zoomScale="124" zoomScaleNormal="124" zoomScaleSheetLayoutView="124" workbookViewId="0">
      <pane xSplit="5" ySplit="2" topLeftCell="W14" activePane="bottomRight" state="frozen"/>
      <selection pane="topRight" activeCell="E1" sqref="E1"/>
      <selection pane="bottomLeft" activeCell="A4" sqref="A4"/>
      <selection pane="bottomRight" activeCell="B29" sqref="B29"/>
    </sheetView>
  </sheetViews>
  <sheetFormatPr baseColWidth="10" defaultRowHeight="27.75" customHeight="1" x14ac:dyDescent="0.15"/>
  <cols>
    <col min="1" max="1" width="5.85546875" style="201" bestFit="1" customWidth="1"/>
    <col min="2" max="2" width="39.42578125" style="139" customWidth="1"/>
    <col min="3" max="3" width="141" style="263" hidden="1" customWidth="1"/>
    <col min="4" max="4" width="9.42578125" style="139" bestFit="1" customWidth="1"/>
    <col min="5" max="5" width="9.42578125" style="211" customWidth="1"/>
    <col min="6" max="6" width="5.7109375" style="139" bestFit="1" customWidth="1"/>
    <col min="7" max="7" width="13.5703125" style="244" bestFit="1" customWidth="1"/>
    <col min="8" max="8" width="14.140625" style="244" bestFit="1" customWidth="1"/>
    <col min="9" max="9" width="12.5703125" style="245" hidden="1" customWidth="1"/>
    <col min="10" max="10" width="11.85546875" style="245" hidden="1" customWidth="1"/>
    <col min="11" max="11" width="12.5703125" style="245" hidden="1" customWidth="1"/>
    <col min="12" max="12" width="11.5703125" style="245" hidden="1" customWidth="1"/>
    <col min="13" max="13" width="12.5703125" style="245" hidden="1" customWidth="1"/>
    <col min="14" max="14" width="11.140625" style="245" hidden="1" customWidth="1"/>
    <col min="15" max="15" width="13" style="245" hidden="1" customWidth="1"/>
    <col min="16" max="16" width="12.42578125" style="245" hidden="1" customWidth="1"/>
    <col min="17" max="17" width="12.5703125" style="245" hidden="1" customWidth="1"/>
    <col min="18" max="18" width="10.28515625" style="245" hidden="1" customWidth="1"/>
    <col min="19" max="19" width="12.5703125" style="245" hidden="1" customWidth="1"/>
    <col min="20" max="20" width="12" style="245" hidden="1" customWidth="1"/>
    <col min="21" max="21" width="11.42578125" style="245" bestFit="1" customWidth="1"/>
    <col min="22" max="22" width="15.7109375" style="245" customWidth="1"/>
    <col min="23" max="24" width="15.7109375" style="244" customWidth="1"/>
    <col min="25" max="25" width="15" style="247" bestFit="1" customWidth="1"/>
    <col min="26" max="26" width="15.7109375" style="245" customWidth="1"/>
    <col min="27" max="27" width="14.42578125" style="231" customWidth="1"/>
    <col min="28" max="28" width="14.7109375" style="231" customWidth="1"/>
    <col min="29" max="16384" width="11.42578125" style="137"/>
  </cols>
  <sheetData>
    <row r="1" spans="1:28" ht="27.75" customHeight="1" x14ac:dyDescent="0.15">
      <c r="A1" s="303" t="s">
        <v>0</v>
      </c>
      <c r="B1" s="302" t="s">
        <v>1</v>
      </c>
      <c r="C1" s="314" t="s">
        <v>3</v>
      </c>
      <c r="D1" s="302" t="s">
        <v>4</v>
      </c>
      <c r="E1" s="303" t="s">
        <v>5</v>
      </c>
      <c r="F1" s="302" t="s">
        <v>6</v>
      </c>
      <c r="G1" s="313" t="s">
        <v>359</v>
      </c>
      <c r="H1" s="313" t="s">
        <v>360</v>
      </c>
      <c r="I1" s="313" t="s">
        <v>9</v>
      </c>
      <c r="J1" s="313"/>
      <c r="K1" s="310" t="s">
        <v>10</v>
      </c>
      <c r="L1" s="310"/>
      <c r="M1" s="310" t="s">
        <v>11</v>
      </c>
      <c r="N1" s="310"/>
      <c r="O1" s="313" t="s">
        <v>223</v>
      </c>
      <c r="P1" s="313"/>
      <c r="Q1" s="310" t="s">
        <v>224</v>
      </c>
      <c r="R1" s="310"/>
      <c r="S1" s="310" t="s">
        <v>225</v>
      </c>
      <c r="T1" s="310"/>
      <c r="U1" s="310" t="s">
        <v>12</v>
      </c>
      <c r="V1" s="310" t="s">
        <v>13</v>
      </c>
      <c r="W1" s="310" t="s">
        <v>14</v>
      </c>
      <c r="X1" s="311" t="s">
        <v>15</v>
      </c>
      <c r="Y1" s="308" t="s">
        <v>349</v>
      </c>
      <c r="Z1" s="309" t="s">
        <v>362</v>
      </c>
    </row>
    <row r="2" spans="1:28" ht="27.75" customHeight="1" x14ac:dyDescent="0.15">
      <c r="A2" s="303"/>
      <c r="B2" s="302"/>
      <c r="C2" s="314"/>
      <c r="D2" s="302"/>
      <c r="E2" s="303"/>
      <c r="F2" s="302"/>
      <c r="G2" s="313"/>
      <c r="H2" s="313"/>
      <c r="I2" s="238" t="s">
        <v>17</v>
      </c>
      <c r="J2" s="238" t="s">
        <v>18</v>
      </c>
      <c r="K2" s="238" t="s">
        <v>17</v>
      </c>
      <c r="L2" s="238" t="s">
        <v>18</v>
      </c>
      <c r="M2" s="238" t="s">
        <v>17</v>
      </c>
      <c r="N2" s="238" t="s">
        <v>18</v>
      </c>
      <c r="O2" s="238" t="s">
        <v>17</v>
      </c>
      <c r="P2" s="238" t="s">
        <v>18</v>
      </c>
      <c r="Q2" s="238" t="s">
        <v>17</v>
      </c>
      <c r="R2" s="238" t="s">
        <v>18</v>
      </c>
      <c r="S2" s="238" t="s">
        <v>17</v>
      </c>
      <c r="T2" s="238" t="s">
        <v>18</v>
      </c>
      <c r="U2" s="310"/>
      <c r="V2" s="310"/>
      <c r="W2" s="310"/>
      <c r="X2" s="312"/>
      <c r="Y2" s="308"/>
      <c r="Z2" s="309"/>
    </row>
    <row r="3" spans="1:28" s="269" customFormat="1" ht="27.75" customHeight="1" x14ac:dyDescent="0.15">
      <c r="A3" s="304" t="s">
        <v>340</v>
      </c>
      <c r="B3" s="305"/>
      <c r="C3" s="305"/>
      <c r="D3" s="305"/>
      <c r="E3" s="306"/>
      <c r="F3" s="264"/>
      <c r="G3" s="265">
        <f t="shared" ref="G3:T3" si="0">SUM(G4:G5)</f>
        <v>6527150</v>
      </c>
      <c r="H3" s="265">
        <f t="shared" si="0"/>
        <v>6527150</v>
      </c>
      <c r="I3" s="265">
        <f>SUM(I4:I5)/119</f>
        <v>35800.225972742039</v>
      </c>
      <c r="J3" s="265">
        <f t="shared" si="0"/>
        <v>4260226.8907563025</v>
      </c>
      <c r="K3" s="265">
        <f t="shared" si="0"/>
        <v>520798.31932773115</v>
      </c>
      <c r="L3" s="265">
        <f t="shared" si="0"/>
        <v>520798.31932773115</v>
      </c>
      <c r="M3" s="265">
        <f t="shared" si="0"/>
        <v>1068400.0000000028</v>
      </c>
      <c r="N3" s="265">
        <f t="shared" si="0"/>
        <v>1068400.0000000028</v>
      </c>
      <c r="O3" s="265">
        <f t="shared" si="0"/>
        <v>4650000</v>
      </c>
      <c r="P3" s="265">
        <f t="shared" si="0"/>
        <v>4650000</v>
      </c>
      <c r="Q3" s="265">
        <f t="shared" si="0"/>
        <v>0</v>
      </c>
      <c r="R3" s="265">
        <f t="shared" si="0"/>
        <v>0</v>
      </c>
      <c r="S3" s="265">
        <f t="shared" si="0"/>
        <v>7880800</v>
      </c>
      <c r="T3" s="265">
        <f t="shared" si="0"/>
        <v>7880800</v>
      </c>
      <c r="U3" s="265">
        <f t="shared" ref="U3:Z3" si="1">SUM(U4:U5)</f>
        <v>1949808.4033613454</v>
      </c>
      <c r="V3" s="265">
        <f t="shared" si="1"/>
        <v>520798.31932773115</v>
      </c>
      <c r="W3" s="265">
        <f t="shared" si="1"/>
        <v>1068400.0000000028</v>
      </c>
      <c r="X3" s="266">
        <f t="shared" si="1"/>
        <v>1324103.0763276834</v>
      </c>
      <c r="Y3" s="265">
        <f t="shared" si="1"/>
        <v>6265400</v>
      </c>
      <c r="Z3" s="267">
        <f t="shared" si="1"/>
        <v>2090267.6937441651</v>
      </c>
      <c r="AA3" s="268">
        <v>6527150</v>
      </c>
      <c r="AB3" s="268">
        <f>+AA3-Z3</f>
        <v>4436882.3062558351</v>
      </c>
    </row>
    <row r="4" spans="1:28" s="234" customFormat="1" ht="27.75" customHeight="1" x14ac:dyDescent="0.2">
      <c r="A4" s="198">
        <v>1</v>
      </c>
      <c r="B4" s="149" t="s">
        <v>29</v>
      </c>
      <c r="C4" s="261" t="s">
        <v>30</v>
      </c>
      <c r="D4" s="149" t="s">
        <v>22</v>
      </c>
      <c r="E4" s="198">
        <v>1</v>
      </c>
      <c r="F4" s="147" t="s">
        <v>31</v>
      </c>
      <c r="G4" s="239">
        <v>6307000</v>
      </c>
      <c r="H4" s="239">
        <f t="shared" ref="H4:H9" si="2">E4*G4</f>
        <v>6307000</v>
      </c>
      <c r="I4" s="248">
        <f>4931700/1.19</f>
        <v>4144285.7142857146</v>
      </c>
      <c r="J4" s="249">
        <f t="shared" ref="J4:J22" si="3">+I4*E4</f>
        <v>4144285.7142857146</v>
      </c>
      <c r="K4" s="250">
        <f>562375/1.19</f>
        <v>472584.03361344541</v>
      </c>
      <c r="L4" s="239">
        <f t="shared" ref="L4:L5" si="4">+K4*E4</f>
        <v>472584.03361344541</v>
      </c>
      <c r="M4" s="250">
        <f>1199202.66666667/1.19</f>
        <v>1007733.3333333362</v>
      </c>
      <c r="N4" s="239">
        <f t="shared" ref="N4:N5" si="5">+M4*E4</f>
        <v>1007733.3333333362</v>
      </c>
      <c r="O4" s="248">
        <f>5474000/1.19</f>
        <v>4600000</v>
      </c>
      <c r="P4" s="251">
        <f>O4*E4</f>
        <v>4600000</v>
      </c>
      <c r="Q4" s="252"/>
      <c r="R4" s="239"/>
      <c r="S4" s="250">
        <f>8925000/1.19</f>
        <v>7500000</v>
      </c>
      <c r="T4" s="239">
        <f>S4*E4</f>
        <v>7500000</v>
      </c>
      <c r="U4" s="239">
        <f>AVERAGE(J4,L4,N4)</f>
        <v>1874867.6937441651</v>
      </c>
      <c r="V4" s="239">
        <f>+MIN(J4,L4,N4)</f>
        <v>472584.03361344541</v>
      </c>
      <c r="W4" s="239">
        <f>MEDIAN(J4,L4,N4)</f>
        <v>1007733.3333333362</v>
      </c>
      <c r="X4" s="240">
        <f>GEOMEAN(J4,L4,N4)</f>
        <v>1254367.4791301491</v>
      </c>
      <c r="Y4" s="241">
        <f>AVERAGE(P4,R4,T4)</f>
        <v>6050000</v>
      </c>
      <c r="Z4" s="253">
        <f>U4</f>
        <v>1874867.6937441651</v>
      </c>
      <c r="AA4" s="231"/>
      <c r="AB4" s="233"/>
    </row>
    <row r="5" spans="1:28" s="234" customFormat="1" ht="27.75" customHeight="1" x14ac:dyDescent="0.2">
      <c r="A5" s="198">
        <v>2</v>
      </c>
      <c r="B5" s="149" t="s">
        <v>32</v>
      </c>
      <c r="C5" s="261" t="s">
        <v>33</v>
      </c>
      <c r="D5" s="149" t="s">
        <v>22</v>
      </c>
      <c r="E5" s="198">
        <v>1</v>
      </c>
      <c r="F5" s="147" t="s">
        <v>31</v>
      </c>
      <c r="G5" s="239">
        <v>220150</v>
      </c>
      <c r="H5" s="239">
        <f t="shared" si="2"/>
        <v>220150</v>
      </c>
      <c r="I5" s="248">
        <f>137970/1.19</f>
        <v>115941.17647058824</v>
      </c>
      <c r="J5" s="249">
        <f t="shared" si="3"/>
        <v>115941.17647058824</v>
      </c>
      <c r="K5" s="250">
        <f>57375/1.19</f>
        <v>48214.285714285717</v>
      </c>
      <c r="L5" s="239">
        <f t="shared" si="4"/>
        <v>48214.285714285717</v>
      </c>
      <c r="M5" s="250">
        <f>72193.3333333333/1.19</f>
        <v>60666.666666666642</v>
      </c>
      <c r="N5" s="239">
        <f t="shared" si="5"/>
        <v>60666.666666666642</v>
      </c>
      <c r="O5" s="248">
        <f>59500/1.19</f>
        <v>50000</v>
      </c>
      <c r="P5" s="251">
        <f>O5*E5</f>
        <v>50000</v>
      </c>
      <c r="Q5" s="252"/>
      <c r="R5" s="239"/>
      <c r="S5" s="250">
        <v>380800</v>
      </c>
      <c r="T5" s="239">
        <f>S5*E5</f>
        <v>380800</v>
      </c>
      <c r="U5" s="239">
        <f>AVERAGE(J5,L5,N5)</f>
        <v>74940.709617180211</v>
      </c>
      <c r="V5" s="239">
        <f>+MIN(J5,L5,N5)</f>
        <v>48214.285714285717</v>
      </c>
      <c r="W5" s="239">
        <f>MEDIAN(J5,L5,N5)</f>
        <v>60666.666666666642</v>
      </c>
      <c r="X5" s="240">
        <f>GEOMEAN(J5,L5,N5)</f>
        <v>69735.597197534313</v>
      </c>
      <c r="Y5" s="241">
        <f>AVERAGE(P5,R5,T5)</f>
        <v>215400</v>
      </c>
      <c r="Z5" s="253">
        <f>Y5</f>
        <v>215400</v>
      </c>
      <c r="AA5" s="231"/>
      <c r="AB5" s="233"/>
    </row>
    <row r="6" spans="1:28" s="269" customFormat="1" ht="27.75" customHeight="1" x14ac:dyDescent="0.15">
      <c r="A6" s="304" t="s">
        <v>341</v>
      </c>
      <c r="B6" s="305"/>
      <c r="C6" s="305"/>
      <c r="D6" s="305"/>
      <c r="E6" s="306"/>
      <c r="F6" s="264"/>
      <c r="G6" s="265">
        <f t="shared" ref="G6:T6" si="6">SUM(G7:G9)</f>
        <v>7378000</v>
      </c>
      <c r="H6" s="265">
        <f t="shared" si="6"/>
        <v>7378000</v>
      </c>
      <c r="I6" s="265">
        <f t="shared" si="6"/>
        <v>10065965.546218488</v>
      </c>
      <c r="J6" s="265">
        <f t="shared" si="6"/>
        <v>10065965.546218488</v>
      </c>
      <c r="K6" s="265">
        <f t="shared" si="6"/>
        <v>4235189.0756302522</v>
      </c>
      <c r="L6" s="265">
        <f t="shared" si="6"/>
        <v>4235189.0756302522</v>
      </c>
      <c r="M6" s="265">
        <f t="shared" si="6"/>
        <v>4600319.8879551776</v>
      </c>
      <c r="N6" s="265">
        <f t="shared" si="6"/>
        <v>4600319.8879551776</v>
      </c>
      <c r="O6" s="265">
        <f t="shared" si="6"/>
        <v>4750000</v>
      </c>
      <c r="P6" s="265">
        <f t="shared" si="6"/>
        <v>4750000</v>
      </c>
      <c r="Q6" s="265">
        <f t="shared" si="6"/>
        <v>0</v>
      </c>
      <c r="R6" s="265">
        <f t="shared" si="6"/>
        <v>0</v>
      </c>
      <c r="S6" s="265">
        <f t="shared" si="6"/>
        <v>7650000</v>
      </c>
      <c r="T6" s="265">
        <f t="shared" si="6"/>
        <v>7650000</v>
      </c>
      <c r="U6" s="265">
        <f t="shared" ref="U6:Z6" si="7">SUM(U7:U9)</f>
        <v>6300491.5032679727</v>
      </c>
      <c r="V6" s="265">
        <f>SUM(V7:V9)</f>
        <v>4099763.3053221265</v>
      </c>
      <c r="W6" s="265">
        <f t="shared" si="7"/>
        <v>4735745.6582633033</v>
      </c>
      <c r="X6" s="266">
        <f t="shared" si="7"/>
        <v>5770374.9123525592</v>
      </c>
      <c r="Y6" s="265">
        <f t="shared" si="7"/>
        <v>6200000</v>
      </c>
      <c r="Z6" s="267">
        <f t="shared" si="7"/>
        <v>4763693.5574229667</v>
      </c>
      <c r="AA6" s="268">
        <v>7378000</v>
      </c>
      <c r="AB6" s="268">
        <f>+AA6-Z6</f>
        <v>2614306.4425770333</v>
      </c>
    </row>
    <row r="7" spans="1:28" s="230" customFormat="1" ht="27.75" customHeight="1" x14ac:dyDescent="0.15">
      <c r="A7" s="228">
        <v>3</v>
      </c>
      <c r="B7" s="229" t="s">
        <v>39</v>
      </c>
      <c r="C7" s="262" t="s">
        <v>40</v>
      </c>
      <c r="D7" s="229" t="s">
        <v>22</v>
      </c>
      <c r="E7" s="228">
        <v>1</v>
      </c>
      <c r="F7" s="163" t="s">
        <v>31</v>
      </c>
      <c r="G7" s="242">
        <v>4099550</v>
      </c>
      <c r="H7" s="242">
        <f t="shared" si="2"/>
        <v>4099550</v>
      </c>
      <c r="I7" s="248">
        <f>7650000/1.19</f>
        <v>6428571.4285714291</v>
      </c>
      <c r="J7" s="251">
        <f t="shared" si="3"/>
        <v>6428571.4285714291</v>
      </c>
      <c r="K7" s="250">
        <f>2566250/1.19</f>
        <v>2156512.6050420171</v>
      </c>
      <c r="L7" s="242">
        <f t="shared" ref="L7:L9" si="8">+K7*E7</f>
        <v>2156512.6050420171</v>
      </c>
      <c r="M7" s="250">
        <f>3109787.33333333/1.19</f>
        <v>2613266.6666666642</v>
      </c>
      <c r="N7" s="242">
        <f t="shared" ref="N7:N9" si="9">+M7*E7</f>
        <v>2613266.6666666642</v>
      </c>
      <c r="O7" s="248">
        <f>3677100/1.19</f>
        <v>3090000</v>
      </c>
      <c r="P7" s="251">
        <f>O7*E7</f>
        <v>3090000</v>
      </c>
      <c r="Q7" s="254"/>
      <c r="R7" s="242"/>
      <c r="S7" s="250">
        <f>4522000/1.19</f>
        <v>3800000</v>
      </c>
      <c r="T7" s="242">
        <f>S7*E7</f>
        <v>3800000</v>
      </c>
      <c r="U7" s="242">
        <f>AVERAGE(J7,L7,N7)</f>
        <v>3732783.5667600371</v>
      </c>
      <c r="V7" s="242">
        <f>+MIN(J7,L7,N7)</f>
        <v>2156512.6050420171</v>
      </c>
      <c r="W7" s="242">
        <f>MEDIAN(J7,L7,N7)</f>
        <v>2613266.6666666642</v>
      </c>
      <c r="X7" s="243">
        <f>GEOMEAN(J7,L7,N7)</f>
        <v>3308898.1629987257</v>
      </c>
      <c r="Y7" s="241">
        <f t="shared" ref="Y7:Y9" si="10">AVERAGE(P7,R7,T7)</f>
        <v>3445000</v>
      </c>
      <c r="Z7" s="253">
        <f>W7</f>
        <v>2613266.6666666642</v>
      </c>
      <c r="AA7" s="232"/>
      <c r="AB7" s="232"/>
    </row>
    <row r="8" spans="1:28" s="230" customFormat="1" ht="27.75" customHeight="1" x14ac:dyDescent="0.15">
      <c r="A8" s="228">
        <v>4</v>
      </c>
      <c r="B8" s="229" t="s">
        <v>41</v>
      </c>
      <c r="C8" s="262" t="s">
        <v>42</v>
      </c>
      <c r="D8" s="229" t="s">
        <v>22</v>
      </c>
      <c r="E8" s="228">
        <v>1</v>
      </c>
      <c r="F8" s="163" t="s">
        <v>31</v>
      </c>
      <c r="G8" s="242">
        <v>2998800</v>
      </c>
      <c r="H8" s="242">
        <f t="shared" si="2"/>
        <v>2998800</v>
      </c>
      <c r="I8" s="248">
        <f>4050000/1.19</f>
        <v>3403361.3445378151</v>
      </c>
      <c r="J8" s="251">
        <f t="shared" si="3"/>
        <v>3403361.3445378151</v>
      </c>
      <c r="K8" s="250">
        <f>2399150/1.19</f>
        <v>2016092.4369747899</v>
      </c>
      <c r="L8" s="242">
        <f t="shared" si="8"/>
        <v>2016092.4369747899</v>
      </c>
      <c r="M8" s="250">
        <f>2237993.33333333/1.19</f>
        <v>1880666.6666666642</v>
      </c>
      <c r="N8" s="242">
        <f t="shared" si="9"/>
        <v>1880666.6666666642</v>
      </c>
      <c r="O8" s="248">
        <f>1832600/1.19</f>
        <v>1540000</v>
      </c>
      <c r="P8" s="251">
        <f>O8*E8</f>
        <v>1540000</v>
      </c>
      <c r="Q8" s="254"/>
      <c r="R8" s="242"/>
      <c r="S8" s="250">
        <f>4165000/1.19</f>
        <v>3500000</v>
      </c>
      <c r="T8" s="242">
        <f>S8*E8</f>
        <v>3500000</v>
      </c>
      <c r="U8" s="242">
        <f>AVERAGE(J8,L8,N8)</f>
        <v>2433373.4827264231</v>
      </c>
      <c r="V8" s="242">
        <f>+MIN(J8,L8,N8)</f>
        <v>1880666.6666666642</v>
      </c>
      <c r="W8" s="242">
        <f>MEDIAN(J8,L8,N8)</f>
        <v>2016092.4369747899</v>
      </c>
      <c r="X8" s="243">
        <f>GEOMEAN(J8,L8,N8)</f>
        <v>2345543.237642264</v>
      </c>
      <c r="Y8" s="241">
        <f t="shared" si="10"/>
        <v>2520000</v>
      </c>
      <c r="Z8" s="253">
        <f>W8</f>
        <v>2016092.4369747899</v>
      </c>
      <c r="AA8" s="232"/>
      <c r="AB8" s="232"/>
    </row>
    <row r="9" spans="1:28" s="230" customFormat="1" ht="27.75" customHeight="1" x14ac:dyDescent="0.15">
      <c r="A9" s="228">
        <v>5</v>
      </c>
      <c r="B9" s="229" t="s">
        <v>43</v>
      </c>
      <c r="C9" s="262" t="s">
        <v>44</v>
      </c>
      <c r="D9" s="229" t="s">
        <v>22</v>
      </c>
      <c r="E9" s="228">
        <v>1</v>
      </c>
      <c r="F9" s="163" t="s">
        <v>31</v>
      </c>
      <c r="G9" s="242">
        <v>279650</v>
      </c>
      <c r="H9" s="242">
        <f t="shared" si="2"/>
        <v>279650</v>
      </c>
      <c r="I9" s="248">
        <f>278499/1.19</f>
        <v>234032.77310924372</v>
      </c>
      <c r="J9" s="251">
        <f t="shared" si="3"/>
        <v>234032.77310924372</v>
      </c>
      <c r="K9" s="250">
        <f>74475/1.19</f>
        <v>62584.033613445383</v>
      </c>
      <c r="L9" s="242">
        <f t="shared" si="8"/>
        <v>62584.033613445383</v>
      </c>
      <c r="M9" s="250">
        <f>126600/1.19</f>
        <v>106386.55462184874</v>
      </c>
      <c r="N9" s="242">
        <f t="shared" si="9"/>
        <v>106386.55462184874</v>
      </c>
      <c r="O9" s="248">
        <f>142800/1.19</f>
        <v>120000</v>
      </c>
      <c r="P9" s="251">
        <f>O9*E9</f>
        <v>120000</v>
      </c>
      <c r="Q9" s="254"/>
      <c r="R9" s="242"/>
      <c r="S9" s="248">
        <f>416500/1.19</f>
        <v>350000</v>
      </c>
      <c r="T9" s="242">
        <f>S9*E9</f>
        <v>350000</v>
      </c>
      <c r="U9" s="242">
        <f>AVERAGE(J9,L9,N9)</f>
        <v>134334.4537815126</v>
      </c>
      <c r="V9" s="242">
        <f>+MIN(J9,L9,N9)</f>
        <v>62584.033613445383</v>
      </c>
      <c r="W9" s="242">
        <f>MEDIAN(J9,L9,N9)</f>
        <v>106386.55462184874</v>
      </c>
      <c r="X9" s="243">
        <f>GEOMEAN(J9,L9,N9)</f>
        <v>115933.51171156978</v>
      </c>
      <c r="Y9" s="241">
        <f t="shared" si="10"/>
        <v>235000</v>
      </c>
      <c r="Z9" s="253">
        <f>U9</f>
        <v>134334.4537815126</v>
      </c>
      <c r="AA9" s="232"/>
      <c r="AB9" s="232"/>
    </row>
    <row r="10" spans="1:28" s="269" customFormat="1" ht="27.75" customHeight="1" x14ac:dyDescent="0.15">
      <c r="A10" s="304" t="s">
        <v>342</v>
      </c>
      <c r="B10" s="305"/>
      <c r="C10" s="305"/>
      <c r="D10" s="305"/>
      <c r="E10" s="306"/>
      <c r="F10" s="264"/>
      <c r="G10" s="265">
        <f>51201538-1215588</f>
        <v>49985950</v>
      </c>
      <c r="H10" s="265">
        <f t="shared" ref="H10:T10" si="11">SUM(H11:H19)</f>
        <v>49985950</v>
      </c>
      <c r="I10" s="265">
        <f t="shared" si="11"/>
        <v>23641991.596638657</v>
      </c>
      <c r="J10" s="265">
        <f t="shared" si="11"/>
        <v>23641991.596638657</v>
      </c>
      <c r="K10" s="265">
        <f t="shared" si="11"/>
        <v>2973396.6386554623</v>
      </c>
      <c r="L10" s="265">
        <f t="shared" si="11"/>
        <v>2973396.6386554623</v>
      </c>
      <c r="M10" s="265">
        <f t="shared" si="11"/>
        <v>843803.91876750672</v>
      </c>
      <c r="N10" s="265">
        <f t="shared" si="11"/>
        <v>843803.91876750672</v>
      </c>
      <c r="O10" s="265">
        <f t="shared" si="11"/>
        <v>39195000</v>
      </c>
      <c r="P10" s="265">
        <f t="shared" si="11"/>
        <v>39195000</v>
      </c>
      <c r="Q10" s="265">
        <f t="shared" si="11"/>
        <v>0</v>
      </c>
      <c r="R10" s="265">
        <f t="shared" si="11"/>
        <v>0</v>
      </c>
      <c r="S10" s="265">
        <f t="shared" si="11"/>
        <v>40617831.932773113</v>
      </c>
      <c r="T10" s="265">
        <f t="shared" si="11"/>
        <v>40617831.932773113</v>
      </c>
      <c r="U10" s="265">
        <f t="shared" ref="U10:Z10" si="12">SUM(U11:U19)</f>
        <v>19507582.538748838</v>
      </c>
      <c r="V10" s="265">
        <f t="shared" si="12"/>
        <v>15525029.689075632</v>
      </c>
      <c r="W10" s="265">
        <f t="shared" si="12"/>
        <v>19243528.851540621</v>
      </c>
      <c r="X10" s="266">
        <f t="shared" si="12"/>
        <v>18156731.911726676</v>
      </c>
      <c r="Y10" s="265">
        <f t="shared" si="12"/>
        <v>39906415.966386557</v>
      </c>
      <c r="Z10" s="267">
        <f t="shared" si="12"/>
        <v>38603436.760699034</v>
      </c>
      <c r="AA10" s="268">
        <v>49985950</v>
      </c>
      <c r="AB10" s="268">
        <f>+AA10-Z10</f>
        <v>11382513.239300966</v>
      </c>
    </row>
    <row r="11" spans="1:28" s="230" customFormat="1" ht="27.75" customHeight="1" x14ac:dyDescent="0.15">
      <c r="A11" s="228">
        <v>6</v>
      </c>
      <c r="B11" s="229" t="s">
        <v>73</v>
      </c>
      <c r="C11" s="262" t="s">
        <v>74</v>
      </c>
      <c r="D11" s="229" t="s">
        <v>22</v>
      </c>
      <c r="E11" s="198">
        <v>1</v>
      </c>
      <c r="F11" s="163" t="s">
        <v>31</v>
      </c>
      <c r="G11" s="242">
        <v>16184000</v>
      </c>
      <c r="H11" s="242">
        <f t="shared" ref="H11:H19" si="13">G11*E11</f>
        <v>16184000</v>
      </c>
      <c r="I11" s="248">
        <f>14700000/1.19</f>
        <v>12352941.176470589</v>
      </c>
      <c r="J11" s="251">
        <f t="shared" si="3"/>
        <v>12352941.176470589</v>
      </c>
      <c r="K11" s="254"/>
      <c r="L11" s="242"/>
      <c r="M11" s="254"/>
      <c r="N11" s="242"/>
      <c r="O11" s="248">
        <f>18088000/1.19</f>
        <v>15200000</v>
      </c>
      <c r="P11" s="242">
        <f>O11*E11</f>
        <v>15200000</v>
      </c>
      <c r="Q11" s="254"/>
      <c r="R11" s="242"/>
      <c r="S11" s="250">
        <f>12600000/1.19</f>
        <v>10588235.294117648</v>
      </c>
      <c r="T11" s="242">
        <f t="shared" ref="T11:T19" si="14">S11*E11</f>
        <v>10588235.294117648</v>
      </c>
      <c r="U11" s="242">
        <f t="shared" ref="U11:U19" si="15">AVERAGE(J11,L11,N11)</f>
        <v>12352941.176470589</v>
      </c>
      <c r="V11" s="242">
        <f t="shared" ref="V11:V19" si="16">+MIN(J11,L11,N11)</f>
        <v>12352941.176470589</v>
      </c>
      <c r="W11" s="242">
        <f t="shared" ref="W11:W19" si="17">MEDIAN(J11,L11,N11)</f>
        <v>12352941.176470589</v>
      </c>
      <c r="X11" s="243">
        <f t="shared" ref="X11:X19" si="18">GEOMEAN(J11,L11,N11)</f>
        <v>12352941.176470589</v>
      </c>
      <c r="Y11" s="241">
        <f t="shared" ref="Y11:Y36" si="19">AVERAGE(P11,R11,T11)</f>
        <v>12894117.647058824</v>
      </c>
      <c r="Z11" s="253">
        <f>Y11</f>
        <v>12894117.647058824</v>
      </c>
      <c r="AA11" s="232"/>
      <c r="AB11" s="232"/>
    </row>
    <row r="12" spans="1:28" s="230" customFormat="1" ht="27.75" customHeight="1" x14ac:dyDescent="0.15">
      <c r="A12" s="228">
        <v>7</v>
      </c>
      <c r="B12" s="229" t="s">
        <v>75</v>
      </c>
      <c r="C12" s="262" t="s">
        <v>76</v>
      </c>
      <c r="D12" s="229" t="s">
        <v>22</v>
      </c>
      <c r="E12" s="198">
        <v>1</v>
      </c>
      <c r="F12" s="163" t="s">
        <v>31</v>
      </c>
      <c r="G12" s="242">
        <v>8121750</v>
      </c>
      <c r="H12" s="242">
        <f t="shared" si="13"/>
        <v>8121750</v>
      </c>
      <c r="I12" s="248">
        <f>396000/1.19</f>
        <v>332773.10924369749</v>
      </c>
      <c r="J12" s="251">
        <f t="shared" si="3"/>
        <v>332773.10924369749</v>
      </c>
      <c r="K12" s="254"/>
      <c r="L12" s="242"/>
      <c r="M12" s="254"/>
      <c r="N12" s="242"/>
      <c r="O12" s="248">
        <f>9103500/1.19</f>
        <v>7650000</v>
      </c>
      <c r="P12" s="242">
        <f>O12*E12</f>
        <v>7650000</v>
      </c>
      <c r="Q12" s="254"/>
      <c r="R12" s="242"/>
      <c r="S12" s="250">
        <f>6800000/1.19</f>
        <v>5714285.7142857146</v>
      </c>
      <c r="T12" s="242">
        <f t="shared" si="14"/>
        <v>5714285.7142857146</v>
      </c>
      <c r="U12" s="242">
        <f t="shared" si="15"/>
        <v>332773.10924369749</v>
      </c>
      <c r="V12" s="242">
        <f t="shared" si="16"/>
        <v>332773.10924369749</v>
      </c>
      <c r="W12" s="242">
        <f t="shared" si="17"/>
        <v>332773.10924369749</v>
      </c>
      <c r="X12" s="243">
        <f t="shared" si="18"/>
        <v>332773.10924369749</v>
      </c>
      <c r="Y12" s="241">
        <f t="shared" si="19"/>
        <v>6682142.8571428573</v>
      </c>
      <c r="Z12" s="253">
        <f>Y12</f>
        <v>6682142.8571428573</v>
      </c>
      <c r="AA12" s="232"/>
      <c r="AB12" s="232"/>
    </row>
    <row r="13" spans="1:28" s="230" customFormat="1" ht="27.75" customHeight="1" x14ac:dyDescent="0.15">
      <c r="A13" s="228">
        <v>8</v>
      </c>
      <c r="B13" s="229" t="s">
        <v>263</v>
      </c>
      <c r="C13" s="262" t="s">
        <v>78</v>
      </c>
      <c r="D13" s="229" t="s">
        <v>22</v>
      </c>
      <c r="E13" s="198">
        <v>1</v>
      </c>
      <c r="F13" s="163" t="s">
        <v>31</v>
      </c>
      <c r="G13" s="242">
        <v>4208435</v>
      </c>
      <c r="H13" s="242">
        <f t="shared" si="13"/>
        <v>4208435</v>
      </c>
      <c r="I13" s="248">
        <f>7010970/1.19</f>
        <v>5891571.4285714291</v>
      </c>
      <c r="J13" s="251">
        <f t="shared" si="3"/>
        <v>5891571.4285714291</v>
      </c>
      <c r="K13" s="250">
        <f>1576907/1.19</f>
        <v>1325131.9327731093</v>
      </c>
      <c r="L13" s="242">
        <f t="shared" ref="L13:L18" si="20">+K13*E13</f>
        <v>1325131.9327731093</v>
      </c>
      <c r="M13" s="254"/>
      <c r="N13" s="242"/>
      <c r="O13" s="248">
        <f>3894870/1.19</f>
        <v>3273000</v>
      </c>
      <c r="P13" s="242">
        <f t="shared" ref="P13:P16" si="21">O13*E13</f>
        <v>3273000</v>
      </c>
      <c r="Q13" s="254"/>
      <c r="R13" s="242"/>
      <c r="S13" s="250">
        <f>4522000/1.19</f>
        <v>3800000</v>
      </c>
      <c r="T13" s="242">
        <f t="shared" si="14"/>
        <v>3800000</v>
      </c>
      <c r="U13" s="242">
        <f t="shared" si="15"/>
        <v>3608351.6806722693</v>
      </c>
      <c r="V13" s="242">
        <f t="shared" si="16"/>
        <v>1325131.9327731093</v>
      </c>
      <c r="W13" s="242">
        <f t="shared" si="17"/>
        <v>3608351.6806722693</v>
      </c>
      <c r="X13" s="243">
        <f t="shared" si="18"/>
        <v>2794120.5117556555</v>
      </c>
      <c r="Y13" s="241">
        <f t="shared" si="19"/>
        <v>3536500</v>
      </c>
      <c r="Z13" s="253">
        <f>Y13</f>
        <v>3536500</v>
      </c>
      <c r="AA13" s="232"/>
      <c r="AB13" s="232"/>
    </row>
    <row r="14" spans="1:28" s="230" customFormat="1" ht="27.75" customHeight="1" x14ac:dyDescent="0.15">
      <c r="A14" s="228">
        <v>9</v>
      </c>
      <c r="B14" s="229" t="s">
        <v>79</v>
      </c>
      <c r="C14" s="262" t="s">
        <v>80</v>
      </c>
      <c r="D14" s="229" t="s">
        <v>81</v>
      </c>
      <c r="E14" s="198">
        <v>1</v>
      </c>
      <c r="F14" s="163" t="s">
        <v>31</v>
      </c>
      <c r="G14" s="242">
        <v>505750</v>
      </c>
      <c r="H14" s="242">
        <f t="shared" si="13"/>
        <v>505750</v>
      </c>
      <c r="I14" s="248">
        <f>2079000/1.19</f>
        <v>1747058.8235294118</v>
      </c>
      <c r="J14" s="251">
        <f t="shared" si="3"/>
        <v>1747058.8235294118</v>
      </c>
      <c r="K14" s="250">
        <f>402220/1.19</f>
        <v>338000</v>
      </c>
      <c r="L14" s="242">
        <f t="shared" si="20"/>
        <v>338000</v>
      </c>
      <c r="M14" s="254"/>
      <c r="N14" s="242"/>
      <c r="O14" s="248">
        <f>571200/1.19</f>
        <v>480000</v>
      </c>
      <c r="P14" s="242">
        <f t="shared" si="21"/>
        <v>480000</v>
      </c>
      <c r="Q14" s="254"/>
      <c r="R14" s="242"/>
      <c r="S14" s="250">
        <f>521220/1.19</f>
        <v>438000</v>
      </c>
      <c r="T14" s="242">
        <f t="shared" si="14"/>
        <v>438000</v>
      </c>
      <c r="U14" s="242">
        <f t="shared" si="15"/>
        <v>1042529.4117647059</v>
      </c>
      <c r="V14" s="242">
        <f t="shared" si="16"/>
        <v>338000</v>
      </c>
      <c r="W14" s="242">
        <f t="shared" si="17"/>
        <v>1042529.4117647059</v>
      </c>
      <c r="X14" s="243">
        <f t="shared" si="18"/>
        <v>768443.80559214682</v>
      </c>
      <c r="Y14" s="241">
        <f t="shared" si="19"/>
        <v>459000</v>
      </c>
      <c r="Z14" s="253">
        <f>Y14</f>
        <v>459000</v>
      </c>
      <c r="AA14" s="232"/>
      <c r="AB14" s="232"/>
    </row>
    <row r="15" spans="1:28" s="230" customFormat="1" ht="39" customHeight="1" x14ac:dyDescent="0.15">
      <c r="A15" s="228">
        <v>10</v>
      </c>
      <c r="B15" s="229" t="s">
        <v>252</v>
      </c>
      <c r="C15" s="262" t="s">
        <v>83</v>
      </c>
      <c r="D15" s="229" t="s">
        <v>22</v>
      </c>
      <c r="E15" s="198">
        <v>1</v>
      </c>
      <c r="F15" s="163" t="s">
        <v>31</v>
      </c>
      <c r="G15" s="242">
        <v>157080</v>
      </c>
      <c r="H15" s="242">
        <f t="shared" si="13"/>
        <v>157080</v>
      </c>
      <c r="I15" s="248">
        <f>127200/1.19</f>
        <v>106890.75630252101</v>
      </c>
      <c r="J15" s="251">
        <f t="shared" si="3"/>
        <v>106890.75630252101</v>
      </c>
      <c r="K15" s="250">
        <f>260715/1.19</f>
        <v>219088.23529411765</v>
      </c>
      <c r="L15" s="242">
        <f t="shared" si="20"/>
        <v>219088.23529411765</v>
      </c>
      <c r="M15" s="254"/>
      <c r="N15" s="242"/>
      <c r="O15" s="248">
        <f>171360/1.19</f>
        <v>144000</v>
      </c>
      <c r="P15" s="242">
        <f t="shared" si="21"/>
        <v>144000</v>
      </c>
      <c r="Q15" s="254"/>
      <c r="R15" s="242"/>
      <c r="S15" s="250">
        <f>180000/1.19</f>
        <v>151260.50420168068</v>
      </c>
      <c r="T15" s="242">
        <f t="shared" si="14"/>
        <v>151260.50420168068</v>
      </c>
      <c r="U15" s="242">
        <f t="shared" si="15"/>
        <v>162989.49579831935</v>
      </c>
      <c r="V15" s="242">
        <f t="shared" si="16"/>
        <v>106890.75630252101</v>
      </c>
      <c r="W15" s="242">
        <f t="shared" si="17"/>
        <v>162989.49579831935</v>
      </c>
      <c r="X15" s="243">
        <f t="shared" si="18"/>
        <v>153031.06602116092</v>
      </c>
      <c r="Y15" s="241">
        <f t="shared" si="19"/>
        <v>147630.25210084033</v>
      </c>
      <c r="Z15" s="253">
        <f>X15</f>
        <v>153031.06602116092</v>
      </c>
      <c r="AA15" s="232"/>
      <c r="AB15" s="232"/>
    </row>
    <row r="16" spans="1:28" s="230" customFormat="1" ht="27.75" customHeight="1" x14ac:dyDescent="0.15">
      <c r="A16" s="228">
        <v>11</v>
      </c>
      <c r="B16" s="229" t="s">
        <v>84</v>
      </c>
      <c r="C16" s="262" t="s">
        <v>357</v>
      </c>
      <c r="D16" s="229" t="s">
        <v>22</v>
      </c>
      <c r="E16" s="198">
        <v>1</v>
      </c>
      <c r="F16" s="163" t="s">
        <v>31</v>
      </c>
      <c r="G16" s="242">
        <v>439705</v>
      </c>
      <c r="H16" s="242">
        <f t="shared" si="13"/>
        <v>439705</v>
      </c>
      <c r="I16" s="248">
        <f>1319700/1.19</f>
        <v>1108991.5966386555</v>
      </c>
      <c r="J16" s="251">
        <f t="shared" si="3"/>
        <v>1108991.5966386555</v>
      </c>
      <c r="K16" s="250">
        <f>549875/1.19</f>
        <v>462079.83193277312</v>
      </c>
      <c r="L16" s="242">
        <f t="shared" si="20"/>
        <v>462079.83193277312</v>
      </c>
      <c r="M16" s="250">
        <f>809993.333333333/1.19</f>
        <v>680666.6666666664</v>
      </c>
      <c r="N16" s="242">
        <f t="shared" ref="N16:N17" si="22">+M16*E16</f>
        <v>680666.6666666664</v>
      </c>
      <c r="O16" s="248">
        <f>552160/1.19</f>
        <v>464000</v>
      </c>
      <c r="P16" s="242">
        <f t="shared" si="21"/>
        <v>464000</v>
      </c>
      <c r="Q16" s="254"/>
      <c r="R16" s="242"/>
      <c r="S16" s="250">
        <f>654500/1.19</f>
        <v>550000</v>
      </c>
      <c r="T16" s="242">
        <f t="shared" si="14"/>
        <v>550000</v>
      </c>
      <c r="U16" s="242">
        <f t="shared" si="15"/>
        <v>750579.36507936509</v>
      </c>
      <c r="V16" s="242">
        <f t="shared" si="16"/>
        <v>462079.83193277312</v>
      </c>
      <c r="W16" s="242">
        <f t="shared" si="17"/>
        <v>680666.6666666664</v>
      </c>
      <c r="X16" s="243">
        <f t="shared" si="18"/>
        <v>703925.31520017434</v>
      </c>
      <c r="Y16" s="241">
        <f t="shared" si="19"/>
        <v>507000</v>
      </c>
      <c r="Z16" s="253">
        <f>Y16</f>
        <v>507000</v>
      </c>
      <c r="AA16" s="232"/>
      <c r="AB16" s="232"/>
    </row>
    <row r="17" spans="1:31" s="230" customFormat="1" ht="27.75" customHeight="1" x14ac:dyDescent="0.15">
      <c r="A17" s="228">
        <v>12</v>
      </c>
      <c r="B17" s="229" t="s">
        <v>85</v>
      </c>
      <c r="C17" s="262" t="s">
        <v>86</v>
      </c>
      <c r="D17" s="229" t="s">
        <v>22</v>
      </c>
      <c r="E17" s="198">
        <v>1</v>
      </c>
      <c r="F17" s="163" t="s">
        <v>31</v>
      </c>
      <c r="G17" s="242">
        <v>2037875</v>
      </c>
      <c r="H17" s="242">
        <f t="shared" si="13"/>
        <v>2037875</v>
      </c>
      <c r="I17" s="248">
        <f>998700/1.19</f>
        <v>839243.69747899158</v>
      </c>
      <c r="J17" s="251">
        <f t="shared" si="3"/>
        <v>839243.69747899158</v>
      </c>
      <c r="K17" s="250">
        <f>249875/1.19</f>
        <v>209978.99159663866</v>
      </c>
      <c r="L17" s="242">
        <f t="shared" si="20"/>
        <v>209978.99159663866</v>
      </c>
      <c r="M17" s="250">
        <f>194133.33/1.19</f>
        <v>163137.25210084033</v>
      </c>
      <c r="N17" s="242">
        <f t="shared" si="22"/>
        <v>163137.25210084033</v>
      </c>
      <c r="O17" s="248">
        <f>3540250/1.19</f>
        <v>2975000</v>
      </c>
      <c r="P17" s="242">
        <f>O17*E17</f>
        <v>2975000</v>
      </c>
      <c r="Q17" s="254"/>
      <c r="R17" s="242"/>
      <c r="S17" s="250">
        <f>535500/1.19</f>
        <v>450000</v>
      </c>
      <c r="T17" s="242">
        <f t="shared" si="14"/>
        <v>450000</v>
      </c>
      <c r="U17" s="242">
        <f t="shared" si="15"/>
        <v>404119.98039215681</v>
      </c>
      <c r="V17" s="242">
        <f t="shared" si="16"/>
        <v>163137.25210084033</v>
      </c>
      <c r="W17" s="242">
        <f t="shared" si="17"/>
        <v>209978.99159663866</v>
      </c>
      <c r="X17" s="243">
        <f t="shared" si="18"/>
        <v>306341.39967414492</v>
      </c>
      <c r="Y17" s="241">
        <f t="shared" si="19"/>
        <v>1712500</v>
      </c>
      <c r="Z17" s="253">
        <f>U17</f>
        <v>404119.98039215681</v>
      </c>
      <c r="AA17" s="232"/>
      <c r="AB17" s="232"/>
    </row>
    <row r="18" spans="1:31" s="230" customFormat="1" ht="27.75" customHeight="1" x14ac:dyDescent="0.15">
      <c r="A18" s="228">
        <v>13</v>
      </c>
      <c r="B18" s="229" t="s">
        <v>310</v>
      </c>
      <c r="C18" s="262" t="s">
        <v>88</v>
      </c>
      <c r="D18" s="229" t="s">
        <v>22</v>
      </c>
      <c r="E18" s="198">
        <v>1</v>
      </c>
      <c r="F18" s="163" t="s">
        <v>31</v>
      </c>
      <c r="G18" s="242">
        <v>4991455</v>
      </c>
      <c r="H18" s="242">
        <f t="shared" si="13"/>
        <v>4991455</v>
      </c>
      <c r="I18" s="248">
        <f>1472700/1.19</f>
        <v>1237563.0252100842</v>
      </c>
      <c r="J18" s="251">
        <f t="shared" si="3"/>
        <v>1237563.0252100842</v>
      </c>
      <c r="K18" s="250">
        <f>498750/1.19</f>
        <v>419117.64705882355</v>
      </c>
      <c r="L18" s="242">
        <f t="shared" si="20"/>
        <v>419117.64705882355</v>
      </c>
      <c r="M18" s="254"/>
      <c r="N18" s="242"/>
      <c r="O18" s="248">
        <f>5460910/1.19</f>
        <v>4589000</v>
      </c>
      <c r="P18" s="242">
        <f>O18*E18</f>
        <v>4589000</v>
      </c>
      <c r="Q18" s="254"/>
      <c r="R18" s="242"/>
      <c r="S18" s="250">
        <f>4522000/1.19</f>
        <v>3800000</v>
      </c>
      <c r="T18" s="242">
        <f t="shared" si="14"/>
        <v>3800000</v>
      </c>
      <c r="U18" s="242">
        <f t="shared" si="15"/>
        <v>828340.33613445389</v>
      </c>
      <c r="V18" s="242">
        <f t="shared" si="16"/>
        <v>419117.64705882355</v>
      </c>
      <c r="W18" s="242">
        <f t="shared" si="17"/>
        <v>828340.33613445377</v>
      </c>
      <c r="X18" s="243">
        <f t="shared" si="18"/>
        <v>720197.54457582673</v>
      </c>
      <c r="Y18" s="241">
        <f t="shared" si="19"/>
        <v>4194500</v>
      </c>
      <c r="Z18" s="253">
        <f>Y18</f>
        <v>4194500</v>
      </c>
      <c r="AA18" s="232"/>
      <c r="AB18" s="232"/>
    </row>
    <row r="19" spans="1:31" s="230" customFormat="1" ht="27.75" customHeight="1" x14ac:dyDescent="0.15">
      <c r="A19" s="228">
        <v>14</v>
      </c>
      <c r="B19" s="229" t="s">
        <v>89</v>
      </c>
      <c r="C19" s="262" t="s">
        <v>90</v>
      </c>
      <c r="D19" s="229" t="s">
        <v>22</v>
      </c>
      <c r="E19" s="198">
        <v>1</v>
      </c>
      <c r="F19" s="163" t="s">
        <v>31</v>
      </c>
      <c r="G19" s="242">
        <v>13339900</v>
      </c>
      <c r="H19" s="242">
        <f t="shared" si="13"/>
        <v>13339900</v>
      </c>
      <c r="I19" s="248">
        <f>29700/1.19</f>
        <v>24957.983193277312</v>
      </c>
      <c r="J19" s="251">
        <f t="shared" si="3"/>
        <v>24957.983193277312</v>
      </c>
      <c r="K19" s="254"/>
      <c r="L19" s="242"/>
      <c r="M19" s="254"/>
      <c r="N19" s="242"/>
      <c r="O19" s="248">
        <f>5259800/1.19</f>
        <v>4420000</v>
      </c>
      <c r="P19" s="251">
        <f>O19*E19</f>
        <v>4420000</v>
      </c>
      <c r="Q19" s="254"/>
      <c r="R19" s="242"/>
      <c r="S19" s="250">
        <f>18000000/1.19</f>
        <v>15126050.420168068</v>
      </c>
      <c r="T19" s="242">
        <f t="shared" si="14"/>
        <v>15126050.420168068</v>
      </c>
      <c r="U19" s="242">
        <f t="shared" si="15"/>
        <v>24957.983193277312</v>
      </c>
      <c r="V19" s="242">
        <f t="shared" si="16"/>
        <v>24957.983193277312</v>
      </c>
      <c r="W19" s="242">
        <f t="shared" si="17"/>
        <v>24957.983193277312</v>
      </c>
      <c r="X19" s="243">
        <f t="shared" si="18"/>
        <v>24957.983193277312</v>
      </c>
      <c r="Y19" s="241">
        <f t="shared" si="19"/>
        <v>9773025.2100840341</v>
      </c>
      <c r="Z19" s="253">
        <f>Y19</f>
        <v>9773025.2100840341</v>
      </c>
      <c r="AA19" s="232"/>
      <c r="AB19" s="232"/>
    </row>
    <row r="20" spans="1:31" s="269" customFormat="1" ht="27.75" customHeight="1" x14ac:dyDescent="0.15">
      <c r="A20" s="304" t="s">
        <v>134</v>
      </c>
      <c r="B20" s="305"/>
      <c r="C20" s="305"/>
      <c r="D20" s="305"/>
      <c r="E20" s="306"/>
      <c r="F20" s="264"/>
      <c r="G20" s="265">
        <f t="shared" ref="G20:Z20" si="23">SUM(G21:G22)</f>
        <v>2745850</v>
      </c>
      <c r="H20" s="265">
        <f t="shared" si="23"/>
        <v>2745850</v>
      </c>
      <c r="I20" s="265">
        <f t="shared" si="23"/>
        <v>4278310.084033614</v>
      </c>
      <c r="J20" s="265">
        <f t="shared" si="23"/>
        <v>4278310.084033614</v>
      </c>
      <c r="K20" s="265">
        <f t="shared" si="23"/>
        <v>1972254.6218487395</v>
      </c>
      <c r="L20" s="265">
        <f t="shared" si="23"/>
        <v>1972254.6218487395</v>
      </c>
      <c r="M20" s="265">
        <f t="shared" si="23"/>
        <v>362077.33333333337</v>
      </c>
      <c r="N20" s="265">
        <f t="shared" si="23"/>
        <v>362077.33333333337</v>
      </c>
      <c r="O20" s="265">
        <f t="shared" si="23"/>
        <v>2480000</v>
      </c>
      <c r="P20" s="265">
        <f t="shared" si="23"/>
        <v>2480000</v>
      </c>
      <c r="Q20" s="265">
        <f t="shared" si="23"/>
        <v>0</v>
      </c>
      <c r="R20" s="265">
        <f t="shared" si="23"/>
        <v>0</v>
      </c>
      <c r="S20" s="265">
        <f t="shared" si="23"/>
        <v>3621000</v>
      </c>
      <c r="T20" s="265">
        <f t="shared" si="23"/>
        <v>3621000</v>
      </c>
      <c r="U20" s="265">
        <f t="shared" si="23"/>
        <v>2650796.22595705</v>
      </c>
      <c r="V20" s="265">
        <f t="shared" si="23"/>
        <v>1284016.8291316526</v>
      </c>
      <c r="W20" s="265">
        <f t="shared" si="23"/>
        <v>2390061.7647058824</v>
      </c>
      <c r="X20" s="266">
        <f t="shared" si="23"/>
        <v>2258948.8804359008</v>
      </c>
      <c r="Y20" s="266">
        <f t="shared" si="23"/>
        <v>2664746.6386554623</v>
      </c>
      <c r="Z20" s="266">
        <f t="shared" si="23"/>
        <v>2258948.8804359008</v>
      </c>
      <c r="AA20" s="268">
        <v>2745850</v>
      </c>
      <c r="AB20" s="268">
        <f>+AA20-Z20</f>
        <v>486901.11956409924</v>
      </c>
    </row>
    <row r="21" spans="1:31" s="230" customFormat="1" ht="27.75" customHeight="1" x14ac:dyDescent="0.15">
      <c r="A21" s="228">
        <v>15</v>
      </c>
      <c r="B21" s="229" t="s">
        <v>135</v>
      </c>
      <c r="C21" s="262" t="s">
        <v>136</v>
      </c>
      <c r="D21" s="229" t="s">
        <v>22</v>
      </c>
      <c r="E21" s="228">
        <v>1</v>
      </c>
      <c r="F21" s="163" t="s">
        <v>31</v>
      </c>
      <c r="G21" s="242">
        <v>1445850</v>
      </c>
      <c r="H21" s="242">
        <f t="shared" ref="H21:H38" si="24">G21*E21</f>
        <v>1445850</v>
      </c>
      <c r="I21" s="248">
        <f>2091489/1.19</f>
        <v>1757553.781512605</v>
      </c>
      <c r="J21" s="251">
        <f t="shared" si="3"/>
        <v>1757553.781512605</v>
      </c>
      <c r="K21" s="250">
        <f>1097108/1.19</f>
        <v>921939.49579831935</v>
      </c>
      <c r="L21" s="242">
        <f t="shared" ref="L21:L22" si="25">+K21*E21</f>
        <v>921939.49579831935</v>
      </c>
      <c r="M21" s="254"/>
      <c r="N21" s="242"/>
      <c r="O21" s="248">
        <f>1463700/1.19</f>
        <v>1230000</v>
      </c>
      <c r="P21" s="242">
        <f>O21*E21</f>
        <v>1230000</v>
      </c>
      <c r="Q21" s="254"/>
      <c r="R21" s="242"/>
      <c r="S21" s="250">
        <f>2642990/1.19</f>
        <v>2221000</v>
      </c>
      <c r="T21" s="242">
        <f>S21*E21</f>
        <v>2221000</v>
      </c>
      <c r="U21" s="242">
        <f>AVERAGE(J21,L21,N21)</f>
        <v>1339746.6386554623</v>
      </c>
      <c r="V21" s="242">
        <f>+MIN(J21,L21,N21)</f>
        <v>921939.49579831935</v>
      </c>
      <c r="W21" s="242">
        <f>MEDIAN(J21,L21,N21)</f>
        <v>1339746.6386554623</v>
      </c>
      <c r="X21" s="243">
        <f>GEOMEAN(J21,L21,N21)</f>
        <v>1272932.9311343001</v>
      </c>
      <c r="Y21" s="241">
        <f>+U21</f>
        <v>1339746.6386554623</v>
      </c>
      <c r="Z21" s="253">
        <f>X21</f>
        <v>1272932.9311343001</v>
      </c>
      <c r="AA21" s="232"/>
      <c r="AB21" s="232"/>
    </row>
    <row r="22" spans="1:31" s="230" customFormat="1" ht="27.75" customHeight="1" x14ac:dyDescent="0.15">
      <c r="A22" s="228">
        <v>16</v>
      </c>
      <c r="B22" s="229" t="s">
        <v>307</v>
      </c>
      <c r="C22" s="262" t="s">
        <v>138</v>
      </c>
      <c r="D22" s="229" t="s">
        <v>22</v>
      </c>
      <c r="E22" s="228">
        <v>1</v>
      </c>
      <c r="F22" s="163" t="s">
        <v>31</v>
      </c>
      <c r="G22" s="242">
        <v>1300000</v>
      </c>
      <c r="H22" s="242">
        <f t="shared" si="24"/>
        <v>1300000</v>
      </c>
      <c r="I22" s="248">
        <f>2999700/1.19</f>
        <v>2520756.3025210085</v>
      </c>
      <c r="J22" s="251">
        <f t="shared" si="3"/>
        <v>2520756.3025210085</v>
      </c>
      <c r="K22" s="250">
        <f>1249875/1.19</f>
        <v>1050315.1260504201</v>
      </c>
      <c r="L22" s="242">
        <f t="shared" si="25"/>
        <v>1050315.1260504201</v>
      </c>
      <c r="M22" s="250">
        <v>362077.33333333337</v>
      </c>
      <c r="N22" s="242">
        <f t="shared" ref="N22" si="26">+M22*E22</f>
        <v>362077.33333333337</v>
      </c>
      <c r="O22" s="248">
        <f>1487500/1.19</f>
        <v>1250000</v>
      </c>
      <c r="P22" s="242">
        <f>O22*E22</f>
        <v>1250000</v>
      </c>
      <c r="Q22" s="254"/>
      <c r="R22" s="242"/>
      <c r="S22" s="250">
        <f>1666000/1.19</f>
        <v>1400000</v>
      </c>
      <c r="T22" s="242">
        <f>S22*E22</f>
        <v>1400000</v>
      </c>
      <c r="U22" s="242">
        <f>AVERAGE(J22,L22,N22)</f>
        <v>1311049.5873015875</v>
      </c>
      <c r="V22" s="242">
        <f>+MIN(J22,L22,N22)</f>
        <v>362077.33333333337</v>
      </c>
      <c r="W22" s="242">
        <f>MEDIAN(J22,L22,N22)</f>
        <v>1050315.1260504201</v>
      </c>
      <c r="X22" s="243">
        <f>GEOMEAN(J22,L22,N22)</f>
        <v>986015.94930160069</v>
      </c>
      <c r="Y22" s="241">
        <f t="shared" si="19"/>
        <v>1325000</v>
      </c>
      <c r="Z22" s="253">
        <f>+X22</f>
        <v>986015.94930160069</v>
      </c>
      <c r="AA22" s="232"/>
      <c r="AB22" s="232"/>
    </row>
    <row r="23" spans="1:31" s="269" customFormat="1" ht="27.75" customHeight="1" x14ac:dyDescent="0.15">
      <c r="A23" s="304" t="s">
        <v>139</v>
      </c>
      <c r="B23" s="305"/>
      <c r="C23" s="305"/>
      <c r="D23" s="305"/>
      <c r="E23" s="306"/>
      <c r="F23" s="264"/>
      <c r="G23" s="265"/>
      <c r="H23" s="265">
        <f t="shared" ref="H23" si="27">+H24</f>
        <v>5664995</v>
      </c>
      <c r="I23" s="265">
        <f>+I24</f>
        <v>9365294.1176470593</v>
      </c>
      <c r="J23" s="265">
        <f t="shared" ref="J23:Z23" si="28">+J24</f>
        <v>9365294.1176470593</v>
      </c>
      <c r="K23" s="265">
        <f t="shared" si="28"/>
        <v>3902205.8823529412</v>
      </c>
      <c r="L23" s="265">
        <f t="shared" si="28"/>
        <v>3902205.8823529412</v>
      </c>
      <c r="M23" s="265">
        <f t="shared" si="28"/>
        <v>0</v>
      </c>
      <c r="N23" s="265">
        <f t="shared" si="28"/>
        <v>0</v>
      </c>
      <c r="O23" s="265">
        <f t="shared" si="28"/>
        <v>5321000</v>
      </c>
      <c r="P23" s="265">
        <f t="shared" si="28"/>
        <v>5321000</v>
      </c>
      <c r="Q23" s="265">
        <f t="shared" si="28"/>
        <v>0</v>
      </c>
      <c r="R23" s="265">
        <f t="shared" si="28"/>
        <v>0</v>
      </c>
      <c r="S23" s="265">
        <f t="shared" si="28"/>
        <v>4800000</v>
      </c>
      <c r="T23" s="265">
        <f t="shared" si="28"/>
        <v>4800000</v>
      </c>
      <c r="U23" s="265">
        <f t="shared" si="28"/>
        <v>6633750</v>
      </c>
      <c r="V23" s="265">
        <f t="shared" si="28"/>
        <v>3902205.8823529412</v>
      </c>
      <c r="W23" s="265">
        <f t="shared" si="28"/>
        <v>6633750</v>
      </c>
      <c r="X23" s="266">
        <f t="shared" si="28"/>
        <v>6045271.3583302237</v>
      </c>
      <c r="Y23" s="266">
        <f t="shared" si="28"/>
        <v>5060500</v>
      </c>
      <c r="Z23" s="266">
        <f t="shared" si="28"/>
        <v>3902205.8823529412</v>
      </c>
      <c r="AA23" s="268">
        <v>5664995</v>
      </c>
      <c r="AB23" s="268">
        <f>+AA23-Z23</f>
        <v>1762789.1176470588</v>
      </c>
    </row>
    <row r="24" spans="1:31" s="230" customFormat="1" ht="27.75" customHeight="1" x14ac:dyDescent="0.15">
      <c r="A24" s="228">
        <v>17</v>
      </c>
      <c r="B24" s="229" t="s">
        <v>233</v>
      </c>
      <c r="C24" s="262" t="s">
        <v>141</v>
      </c>
      <c r="D24" s="229" t="s">
        <v>22</v>
      </c>
      <c r="E24" s="228">
        <v>1</v>
      </c>
      <c r="F24" s="163" t="s">
        <v>31</v>
      </c>
      <c r="G24" s="242">
        <v>5664995</v>
      </c>
      <c r="H24" s="242">
        <f t="shared" si="24"/>
        <v>5664995</v>
      </c>
      <c r="I24" s="248">
        <f>11144700/1.19</f>
        <v>9365294.1176470593</v>
      </c>
      <c r="J24" s="251">
        <f t="shared" ref="J24" si="29">+I24*E24</f>
        <v>9365294.1176470593</v>
      </c>
      <c r="K24" s="250">
        <f>4643625/1.19</f>
        <v>3902205.8823529412</v>
      </c>
      <c r="L24" s="242">
        <f>+K24*E24</f>
        <v>3902205.8823529412</v>
      </c>
      <c r="M24" s="254"/>
      <c r="N24" s="242"/>
      <c r="O24" s="248">
        <f>6331990/1.19</f>
        <v>5321000</v>
      </c>
      <c r="P24" s="242">
        <f>O24*E24</f>
        <v>5321000</v>
      </c>
      <c r="Q24" s="254"/>
      <c r="R24" s="242"/>
      <c r="S24" s="250">
        <f>5712000/1.19</f>
        <v>4800000</v>
      </c>
      <c r="T24" s="242">
        <f>S24*E24</f>
        <v>4800000</v>
      </c>
      <c r="U24" s="242">
        <f>AVERAGE(J24,L24,N24)</f>
        <v>6633750</v>
      </c>
      <c r="V24" s="242">
        <f>+MIN(J24,L24,N24)</f>
        <v>3902205.8823529412</v>
      </c>
      <c r="W24" s="242">
        <f>MEDIAN(J24,L24,N24)</f>
        <v>6633750</v>
      </c>
      <c r="X24" s="243">
        <f>GEOMEAN(J24,L24,N24)</f>
        <v>6045271.3583302237</v>
      </c>
      <c r="Y24" s="241">
        <f t="shared" si="19"/>
        <v>5060500</v>
      </c>
      <c r="Z24" s="253">
        <f>V24</f>
        <v>3902205.8823529412</v>
      </c>
      <c r="AA24" s="232"/>
      <c r="AB24" s="232"/>
    </row>
    <row r="25" spans="1:31" s="269" customFormat="1" ht="27.75" customHeight="1" x14ac:dyDescent="0.15">
      <c r="A25" s="304" t="s">
        <v>355</v>
      </c>
      <c r="B25" s="305"/>
      <c r="C25" s="305"/>
      <c r="D25" s="305"/>
      <c r="E25" s="306"/>
      <c r="F25" s="264"/>
      <c r="G25" s="265">
        <f t="shared" ref="G25:Z25" si="30">SUM(G26:G29)</f>
        <v>3902900</v>
      </c>
      <c r="H25" s="265">
        <f t="shared" si="30"/>
        <v>11374900</v>
      </c>
      <c r="I25" s="265">
        <f t="shared" si="30"/>
        <v>2514443.6974789919</v>
      </c>
      <c r="J25" s="265">
        <f t="shared" si="30"/>
        <v>6306000</v>
      </c>
      <c r="K25" s="265">
        <f t="shared" si="30"/>
        <v>232749.57983193279</v>
      </c>
      <c r="L25" s="265">
        <f t="shared" si="30"/>
        <v>890732.77310924383</v>
      </c>
      <c r="M25" s="265">
        <f t="shared" si="30"/>
        <v>180933.33333333302</v>
      </c>
      <c r="N25" s="265">
        <f t="shared" si="30"/>
        <v>661999.99999999849</v>
      </c>
      <c r="O25" s="265">
        <f t="shared" si="30"/>
        <v>3316000</v>
      </c>
      <c r="P25" s="265">
        <f t="shared" si="30"/>
        <v>8580000</v>
      </c>
      <c r="Q25" s="265">
        <f t="shared" si="30"/>
        <v>0</v>
      </c>
      <c r="R25" s="265">
        <f t="shared" si="30"/>
        <v>0</v>
      </c>
      <c r="S25" s="265">
        <f t="shared" si="30"/>
        <v>3136638.6554621849</v>
      </c>
      <c r="T25" s="265">
        <f t="shared" si="30"/>
        <v>10003193.277310925</v>
      </c>
      <c r="U25" s="265">
        <f t="shared" si="30"/>
        <v>3004357.0028011203</v>
      </c>
      <c r="V25" s="265">
        <f t="shared" si="30"/>
        <v>800889.63585434027</v>
      </c>
      <c r="W25" s="265">
        <f t="shared" si="30"/>
        <v>1906181.37254902</v>
      </c>
      <c r="X25" s="266">
        <f t="shared" si="30"/>
        <v>1829356.6462168074</v>
      </c>
      <c r="Y25" s="265">
        <f t="shared" si="30"/>
        <v>9291596.6386554614</v>
      </c>
      <c r="Z25" s="267">
        <f t="shared" si="30"/>
        <v>9291596.6386554614</v>
      </c>
      <c r="AA25" s="268">
        <v>11800000</v>
      </c>
      <c r="AB25" s="268"/>
      <c r="AC25" s="270"/>
      <c r="AD25" s="271"/>
    </row>
    <row r="26" spans="1:31" s="230" customFormat="1" ht="27.75" customHeight="1" x14ac:dyDescent="0.15">
      <c r="A26" s="198">
        <v>18</v>
      </c>
      <c r="B26" s="149" t="s">
        <v>143</v>
      </c>
      <c r="C26" s="261" t="s">
        <v>144</v>
      </c>
      <c r="D26" s="149" t="s">
        <v>22</v>
      </c>
      <c r="E26" s="198">
        <v>5</v>
      </c>
      <c r="F26" s="163" t="s">
        <v>31</v>
      </c>
      <c r="G26" s="242">
        <v>1428000</v>
      </c>
      <c r="H26" s="242">
        <f>G26*E26</f>
        <v>7140000</v>
      </c>
      <c r="I26" s="248">
        <f>195000/1.19</f>
        <v>163865.5462184874</v>
      </c>
      <c r="J26" s="251">
        <f t="shared" ref="J26:J29" si="31">+I26*E26</f>
        <v>819327.73109243705</v>
      </c>
      <c r="K26" s="250">
        <f>31250/1.19</f>
        <v>26260.504201680673</v>
      </c>
      <c r="L26" s="242">
        <f t="shared" ref="L26:L29" si="32">+K26*E26</f>
        <v>131302.52100840336</v>
      </c>
      <c r="M26" s="254"/>
      <c r="N26" s="242"/>
      <c r="O26" s="248">
        <f>1013880/1.19</f>
        <v>852000</v>
      </c>
      <c r="P26" s="242">
        <f>O26*E26</f>
        <v>4260000</v>
      </c>
      <c r="Q26" s="254"/>
      <c r="R26" s="242"/>
      <c r="S26" s="250">
        <f>1543000/1.19</f>
        <v>1296638.6554621849</v>
      </c>
      <c r="T26" s="242">
        <f>S26*E26</f>
        <v>6483193.2773109246</v>
      </c>
      <c r="U26" s="242">
        <f>AVERAGE(J26,L26,N26)</f>
        <v>475315.12605042022</v>
      </c>
      <c r="V26" s="242">
        <f>+MIN(J26,L26,N26)</f>
        <v>131302.52100840336</v>
      </c>
      <c r="W26" s="242">
        <f>MEDIAN(J26,L26,N26)</f>
        <v>475315.12605042022</v>
      </c>
      <c r="X26" s="243">
        <f>GEOMEAN(J26,L26,N26)</f>
        <v>327993.59235285706</v>
      </c>
      <c r="Y26" s="241">
        <f t="shared" si="19"/>
        <v>5371596.6386554623</v>
      </c>
      <c r="Z26" s="253">
        <f>Y26</f>
        <v>5371596.6386554623</v>
      </c>
      <c r="AA26" s="232">
        <f>Z26</f>
        <v>5371596.6386554623</v>
      </c>
      <c r="AB26" s="233">
        <f>Z26-AA26</f>
        <v>0</v>
      </c>
      <c r="AD26" s="236"/>
    </row>
    <row r="27" spans="1:31" s="230" customFormat="1" ht="27.75" customHeight="1" x14ac:dyDescent="0.15">
      <c r="A27" s="228">
        <v>19</v>
      </c>
      <c r="B27" s="229" t="s">
        <v>246</v>
      </c>
      <c r="C27" s="262" t="s">
        <v>146</v>
      </c>
      <c r="D27" s="229" t="s">
        <v>22</v>
      </c>
      <c r="E27" s="228">
        <v>1</v>
      </c>
      <c r="F27" s="163" t="s">
        <v>31</v>
      </c>
      <c r="G27" s="242">
        <v>1400630</v>
      </c>
      <c r="H27" s="242">
        <f t="shared" si="24"/>
        <v>1400630</v>
      </c>
      <c r="I27" s="248">
        <f>310500/1.19</f>
        <v>260924.36974789918</v>
      </c>
      <c r="J27" s="251">
        <f t="shared" si="31"/>
        <v>260924.36974789918</v>
      </c>
      <c r="K27" s="250">
        <f>18847/1.19</f>
        <v>15837.81512605042</v>
      </c>
      <c r="L27" s="242">
        <f t="shared" si="32"/>
        <v>15837.81512605042</v>
      </c>
      <c r="M27" s="250">
        <f>72193.3333333333/1.19</f>
        <v>60666.666666666642</v>
      </c>
      <c r="N27" s="242">
        <f t="shared" ref="N27:N29" si="33">+M27*E27</f>
        <v>60666.666666666642</v>
      </c>
      <c r="O27" s="248">
        <f>1492260/1.19</f>
        <v>1254000</v>
      </c>
      <c r="P27" s="242">
        <f>O27*E27</f>
        <v>1254000</v>
      </c>
      <c r="Q27" s="254"/>
      <c r="R27" s="242"/>
      <c r="S27" s="250">
        <f>1309000/1.19</f>
        <v>1100000</v>
      </c>
      <c r="T27" s="242">
        <f>S27*E27</f>
        <v>1100000</v>
      </c>
      <c r="U27" s="242">
        <f>AVERAGE(J27,L27,N27)</f>
        <v>112476.28384687209</v>
      </c>
      <c r="V27" s="242">
        <f>+MIN(J27,L27,N27)</f>
        <v>15837.81512605042</v>
      </c>
      <c r="W27" s="242">
        <f>MEDIAN(J27,L27,N27)</f>
        <v>60666.666666666642</v>
      </c>
      <c r="X27" s="243">
        <f>GEOMEAN(J27,L27,N27)</f>
        <v>63055.070439753414</v>
      </c>
      <c r="Y27" s="241">
        <f t="shared" si="19"/>
        <v>1177000</v>
      </c>
      <c r="Z27" s="253">
        <f>Y27</f>
        <v>1177000</v>
      </c>
      <c r="AA27" s="227">
        <f>Z27</f>
        <v>1177000</v>
      </c>
      <c r="AB27" s="232"/>
    </row>
    <row r="28" spans="1:31" s="230" customFormat="1" ht="27.75" customHeight="1" x14ac:dyDescent="0.15">
      <c r="A28" s="228">
        <v>20</v>
      </c>
      <c r="B28" s="229" t="s">
        <v>147</v>
      </c>
      <c r="C28" s="262" t="s">
        <v>148</v>
      </c>
      <c r="D28" s="229" t="s">
        <v>22</v>
      </c>
      <c r="E28" s="228">
        <v>1</v>
      </c>
      <c r="F28" s="163" t="s">
        <v>31</v>
      </c>
      <c r="G28" s="242">
        <v>634270</v>
      </c>
      <c r="H28" s="242">
        <f t="shared" si="24"/>
        <v>634270</v>
      </c>
      <c r="I28" s="248">
        <f>1553700/1.19</f>
        <v>1305630.2521008404</v>
      </c>
      <c r="J28" s="251">
        <f t="shared" si="31"/>
        <v>1305630.2521008404</v>
      </c>
      <c r="K28" s="250">
        <f>62375/1.19</f>
        <v>52415.966386554624</v>
      </c>
      <c r="L28" s="242">
        <f t="shared" si="32"/>
        <v>52415.966386554624</v>
      </c>
      <c r="M28" s="254"/>
      <c r="N28" s="242"/>
      <c r="O28" s="248">
        <f>887740/1.19</f>
        <v>746000</v>
      </c>
      <c r="P28" s="242">
        <f>O28*E28</f>
        <v>746000</v>
      </c>
      <c r="Q28" s="254"/>
      <c r="R28" s="242"/>
      <c r="S28" s="250">
        <f>380800/1.19</f>
        <v>320000</v>
      </c>
      <c r="T28" s="242">
        <f>S28*E28</f>
        <v>320000</v>
      </c>
      <c r="U28" s="242">
        <f>AVERAGE(J28,L28,N28)</f>
        <v>679023.10924369749</v>
      </c>
      <c r="V28" s="242">
        <f>+MIN(J28,L28,N28)</f>
        <v>52415.966386554624</v>
      </c>
      <c r="W28" s="242">
        <f>MEDIAN(J28,L28,N28)</f>
        <v>679023.1092436976</v>
      </c>
      <c r="X28" s="243">
        <f>GEOMEAN(J28,L28,N28)</f>
        <v>261602.50650058093</v>
      </c>
      <c r="Y28" s="241">
        <f t="shared" si="19"/>
        <v>533000</v>
      </c>
      <c r="Z28" s="253">
        <f>Y28</f>
        <v>533000</v>
      </c>
      <c r="AA28" s="227">
        <f t="shared" ref="AA28:AA29" si="34">Z28</f>
        <v>533000</v>
      </c>
      <c r="AB28" s="232"/>
    </row>
    <row r="29" spans="1:31" s="230" customFormat="1" ht="27.75" customHeight="1" x14ac:dyDescent="0.15">
      <c r="A29" s="228">
        <v>21</v>
      </c>
      <c r="B29" s="229" t="s">
        <v>149</v>
      </c>
      <c r="C29" s="262" t="s">
        <v>150</v>
      </c>
      <c r="D29" s="229" t="s">
        <v>22</v>
      </c>
      <c r="E29" s="228">
        <v>5</v>
      </c>
      <c r="F29" s="163" t="s">
        <v>31</v>
      </c>
      <c r="G29" s="242">
        <v>440000</v>
      </c>
      <c r="H29" s="242">
        <f t="shared" si="24"/>
        <v>2200000</v>
      </c>
      <c r="I29" s="248">
        <f>932988/1.19</f>
        <v>784023.5294117647</v>
      </c>
      <c r="J29" s="251">
        <f t="shared" si="31"/>
        <v>3920117.6470588236</v>
      </c>
      <c r="K29" s="250">
        <f>164500/1.19</f>
        <v>138235.29411764708</v>
      </c>
      <c r="L29" s="242">
        <f t="shared" si="32"/>
        <v>691176.47058823542</v>
      </c>
      <c r="M29" s="250">
        <f>143117.333333333/1.19</f>
        <v>120266.66666666638</v>
      </c>
      <c r="N29" s="242">
        <f t="shared" si="33"/>
        <v>601333.33333333186</v>
      </c>
      <c r="O29" s="248">
        <f>552160/1.19</f>
        <v>464000</v>
      </c>
      <c r="P29" s="248">
        <f>O29*E29</f>
        <v>2320000</v>
      </c>
      <c r="Q29" s="254"/>
      <c r="R29" s="242"/>
      <c r="S29" s="250">
        <f>499800/1.19</f>
        <v>420000</v>
      </c>
      <c r="T29" s="242">
        <f>S29*E29</f>
        <v>2100000</v>
      </c>
      <c r="U29" s="242">
        <f>AVERAGE(J29,L29,N29)</f>
        <v>1737542.4836601305</v>
      </c>
      <c r="V29" s="242">
        <f>+MIN(J29,L29,N29)</f>
        <v>601333.33333333186</v>
      </c>
      <c r="W29" s="242">
        <f>MEDIAN(J29,L29,N29)</f>
        <v>691176.47058823542</v>
      </c>
      <c r="X29" s="243">
        <f>GEOMEAN(J29,L29,N29)</f>
        <v>1176705.4769236159</v>
      </c>
      <c r="Y29" s="241">
        <f t="shared" si="19"/>
        <v>2210000</v>
      </c>
      <c r="Z29" s="253">
        <f>Y29</f>
        <v>2210000</v>
      </c>
      <c r="AA29" s="227">
        <f t="shared" si="34"/>
        <v>2210000</v>
      </c>
      <c r="AB29" s="232"/>
      <c r="AD29" s="236"/>
    </row>
    <row r="30" spans="1:31" s="269" customFormat="1" ht="27.75" customHeight="1" x14ac:dyDescent="0.15">
      <c r="A30" s="304" t="s">
        <v>354</v>
      </c>
      <c r="B30" s="305"/>
      <c r="C30" s="305"/>
      <c r="D30" s="305"/>
      <c r="E30" s="306"/>
      <c r="F30" s="264"/>
      <c r="G30" s="265">
        <f t="shared" ref="G30:H30" si="35">+G31</f>
        <v>49000000</v>
      </c>
      <c r="H30" s="265">
        <f t="shared" si="35"/>
        <v>49000000</v>
      </c>
      <c r="I30" s="265">
        <f>+I31</f>
        <v>6567</v>
      </c>
      <c r="J30" s="265">
        <f t="shared" ref="J30:Z30" si="36">+J31</f>
        <v>6567</v>
      </c>
      <c r="K30" s="265">
        <f t="shared" si="36"/>
        <v>0</v>
      </c>
      <c r="L30" s="265">
        <f t="shared" si="36"/>
        <v>0</v>
      </c>
      <c r="M30" s="265">
        <f t="shared" si="36"/>
        <v>0</v>
      </c>
      <c r="N30" s="265">
        <f t="shared" si="36"/>
        <v>0</v>
      </c>
      <c r="O30" s="265">
        <f t="shared" si="36"/>
        <v>49266000</v>
      </c>
      <c r="P30" s="265">
        <f t="shared" si="36"/>
        <v>49266000</v>
      </c>
      <c r="Q30" s="265">
        <f t="shared" si="36"/>
        <v>0</v>
      </c>
      <c r="R30" s="265">
        <f t="shared" si="36"/>
        <v>0</v>
      </c>
      <c r="S30" s="265">
        <f t="shared" si="36"/>
        <v>30000000</v>
      </c>
      <c r="T30" s="265">
        <f t="shared" si="36"/>
        <v>30000000</v>
      </c>
      <c r="U30" s="265">
        <f t="shared" si="36"/>
        <v>6567</v>
      </c>
      <c r="V30" s="265">
        <f t="shared" si="36"/>
        <v>6567</v>
      </c>
      <c r="W30" s="265">
        <f t="shared" si="36"/>
        <v>6567</v>
      </c>
      <c r="X30" s="266">
        <f t="shared" si="36"/>
        <v>6567</v>
      </c>
      <c r="Y30" s="266">
        <f t="shared" si="36"/>
        <v>39633000</v>
      </c>
      <c r="Z30" s="266">
        <f t="shared" si="36"/>
        <v>39633000</v>
      </c>
      <c r="AA30" s="268">
        <f>31178000</f>
        <v>31178000</v>
      </c>
      <c r="AB30" s="268"/>
      <c r="AC30" s="270"/>
      <c r="AD30" s="272"/>
    </row>
    <row r="31" spans="1:31" s="138" customFormat="1" ht="27.75" customHeight="1" x14ac:dyDescent="0.15">
      <c r="A31" s="198">
        <v>22</v>
      </c>
      <c r="B31" s="149" t="s">
        <v>226</v>
      </c>
      <c r="C31" s="261" t="s">
        <v>153</v>
      </c>
      <c r="D31" s="149" t="s">
        <v>22</v>
      </c>
      <c r="E31" s="198">
        <v>1</v>
      </c>
      <c r="F31" s="147" t="s">
        <v>31</v>
      </c>
      <c r="G31" s="239">
        <v>49000000</v>
      </c>
      <c r="H31" s="239">
        <f t="shared" si="24"/>
        <v>49000000</v>
      </c>
      <c r="I31" s="239">
        <v>6567</v>
      </c>
      <c r="J31" s="249">
        <f t="shared" ref="J31" si="37">+I31*E31</f>
        <v>6567</v>
      </c>
      <c r="K31" s="252"/>
      <c r="L31" s="239"/>
      <c r="M31" s="252"/>
      <c r="N31" s="239"/>
      <c r="O31" s="248">
        <f>58626540/1.19</f>
        <v>49266000</v>
      </c>
      <c r="P31" s="239">
        <f>O31*E31</f>
        <v>49266000</v>
      </c>
      <c r="Q31" s="252"/>
      <c r="R31" s="239"/>
      <c r="S31" s="250">
        <f>35700000/1.19</f>
        <v>30000000</v>
      </c>
      <c r="T31" s="239">
        <f>S31*E31</f>
        <v>30000000</v>
      </c>
      <c r="U31" s="239">
        <f>AVERAGE(J31,L31,N31)</f>
        <v>6567</v>
      </c>
      <c r="V31" s="239">
        <f>+MIN(J31,L31,N31)</f>
        <v>6567</v>
      </c>
      <c r="W31" s="239">
        <f>MEDIAN(J31,L31,N31)</f>
        <v>6567</v>
      </c>
      <c r="X31" s="240">
        <f>GEOMEAN(J31,L31,N31)</f>
        <v>6567</v>
      </c>
      <c r="Y31" s="241">
        <f t="shared" si="19"/>
        <v>39633000</v>
      </c>
      <c r="Z31" s="255">
        <f>Y31</f>
        <v>39633000</v>
      </c>
      <c r="AA31" s="233">
        <f>AA30-AB30</f>
        <v>31178000</v>
      </c>
      <c r="AB31" s="233">
        <f>Z31-AA31</f>
        <v>8455000</v>
      </c>
      <c r="AC31" s="237"/>
      <c r="AE31" s="235"/>
    </row>
    <row r="32" spans="1:31" s="269" customFormat="1" ht="48" customHeight="1" x14ac:dyDescent="0.15">
      <c r="A32" s="304" t="s">
        <v>343</v>
      </c>
      <c r="B32" s="305"/>
      <c r="C32" s="305"/>
      <c r="D32" s="305"/>
      <c r="E32" s="306"/>
      <c r="F32" s="264"/>
      <c r="G32" s="265">
        <f t="shared" ref="G32:T32" si="38">SUM(G33:G34)</f>
        <v>18135574</v>
      </c>
      <c r="H32" s="265">
        <f t="shared" si="38"/>
        <v>18135574</v>
      </c>
      <c r="I32" s="265">
        <f t="shared" si="38"/>
        <v>2571176.4705882357</v>
      </c>
      <c r="J32" s="265">
        <f t="shared" si="38"/>
        <v>2571176.4705882357</v>
      </c>
      <c r="K32" s="265">
        <f t="shared" si="38"/>
        <v>237068.96551724139</v>
      </c>
      <c r="L32" s="265">
        <f t="shared" si="38"/>
        <v>237068.96551724139</v>
      </c>
      <c r="M32" s="265">
        <f t="shared" si="38"/>
        <v>0</v>
      </c>
      <c r="N32" s="265">
        <f t="shared" si="38"/>
        <v>0</v>
      </c>
      <c r="O32" s="265">
        <f t="shared" si="38"/>
        <v>16983000</v>
      </c>
      <c r="P32" s="265">
        <f t="shared" si="38"/>
        <v>17230000</v>
      </c>
      <c r="Q32" s="265">
        <f t="shared" si="38"/>
        <v>0</v>
      </c>
      <c r="R32" s="265">
        <f t="shared" si="38"/>
        <v>0</v>
      </c>
      <c r="S32" s="265">
        <f t="shared" si="38"/>
        <v>16275000</v>
      </c>
      <c r="T32" s="265">
        <f t="shared" si="38"/>
        <v>16275000</v>
      </c>
      <c r="U32" s="265">
        <f>SUM(U33:U34)</f>
        <v>2412400.0289771082</v>
      </c>
      <c r="V32" s="265">
        <f>SUM(V33:V34)</f>
        <v>2253623.5873659812</v>
      </c>
      <c r="W32" s="265">
        <f>SUM(W33:W34)</f>
        <v>2412400.0289771082</v>
      </c>
      <c r="X32" s="266">
        <f>SUM(X33:X34)</f>
        <v>2379161.3343265043</v>
      </c>
      <c r="Y32" s="266">
        <f t="shared" ref="Y32:Z32" si="39">SUM(Y33:Y34)</f>
        <v>16348500</v>
      </c>
      <c r="Z32" s="266">
        <f t="shared" si="39"/>
        <v>15237606.712477764</v>
      </c>
      <c r="AA32" s="268">
        <v>18135574</v>
      </c>
      <c r="AB32" s="268"/>
    </row>
    <row r="33" spans="1:28" s="138" customFormat="1" ht="27.75" customHeight="1" thickBot="1" x14ac:dyDescent="0.2">
      <c r="A33" s="198">
        <v>23</v>
      </c>
      <c r="B33" s="149" t="s">
        <v>227</v>
      </c>
      <c r="C33" s="261" t="s">
        <v>156</v>
      </c>
      <c r="D33" s="149" t="s">
        <v>22</v>
      </c>
      <c r="E33" s="198">
        <v>1</v>
      </c>
      <c r="F33" s="147" t="s">
        <v>31</v>
      </c>
      <c r="G33" s="239">
        <v>16780000</v>
      </c>
      <c r="H33" s="239">
        <f t="shared" si="24"/>
        <v>16780000</v>
      </c>
      <c r="I33" s="256">
        <f>2399700/1.19</f>
        <v>2016554.6218487397</v>
      </c>
      <c r="J33" s="249">
        <f t="shared" ref="J33:J34" si="40">+I33*E33</f>
        <v>2016554.6218487397</v>
      </c>
      <c r="K33" s="254"/>
      <c r="L33" s="242"/>
      <c r="M33" s="254"/>
      <c r="N33" s="242"/>
      <c r="O33" s="248">
        <f>18662770/1.19</f>
        <v>15683000</v>
      </c>
      <c r="P33" s="242">
        <f>O33*E33</f>
        <v>15683000</v>
      </c>
      <c r="Q33" s="254"/>
      <c r="R33" s="242"/>
      <c r="S33" s="250">
        <v>14875000</v>
      </c>
      <c r="T33" s="242">
        <f>S33*E33</f>
        <v>14875000</v>
      </c>
      <c r="U33" s="239">
        <f>AVERAGE(J33,L33,N33)</f>
        <v>2016554.6218487397</v>
      </c>
      <c r="V33" s="239">
        <f>+MIN(J33,L33,N33)</f>
        <v>2016554.6218487397</v>
      </c>
      <c r="W33" s="239">
        <f>MEDIAN(J33,L33,N33)</f>
        <v>2016554.6218487397</v>
      </c>
      <c r="X33" s="240">
        <f>GEOMEAN(J33,L33,N33)</f>
        <v>2016554.6218487397</v>
      </c>
      <c r="Y33" s="241">
        <f>MIN(P33,R33,T33)</f>
        <v>14875000</v>
      </c>
      <c r="Z33" s="255">
        <f>Y33</f>
        <v>14875000</v>
      </c>
      <c r="AA33" s="233"/>
      <c r="AB33" s="233"/>
    </row>
    <row r="34" spans="1:28" s="230" customFormat="1" ht="27.75" customHeight="1" x14ac:dyDescent="0.15">
      <c r="A34" s="228">
        <v>24</v>
      </c>
      <c r="B34" s="229" t="s">
        <v>228</v>
      </c>
      <c r="C34" s="262" t="s">
        <v>158</v>
      </c>
      <c r="D34" s="229" t="s">
        <v>22</v>
      </c>
      <c r="E34" s="228">
        <v>1</v>
      </c>
      <c r="F34" s="163" t="s">
        <v>31</v>
      </c>
      <c r="G34" s="242">
        <v>1355574</v>
      </c>
      <c r="H34" s="242">
        <f t="shared" si="24"/>
        <v>1355574</v>
      </c>
      <c r="I34" s="248">
        <f>660000/1.19</f>
        <v>554621.84873949585</v>
      </c>
      <c r="J34" s="251">
        <f t="shared" si="40"/>
        <v>554621.84873949585</v>
      </c>
      <c r="K34" s="250">
        <f>275000/1.16</f>
        <v>237068.96551724139</v>
      </c>
      <c r="L34" s="242">
        <f t="shared" ref="L34" si="41">+K34*E34</f>
        <v>237068.96551724139</v>
      </c>
      <c r="M34" s="254"/>
      <c r="N34" s="242"/>
      <c r="O34" s="248">
        <f>1547000/1.19</f>
        <v>1300000</v>
      </c>
      <c r="P34" s="242">
        <v>1547000</v>
      </c>
      <c r="Q34" s="254"/>
      <c r="R34" s="242"/>
      <c r="S34" s="250">
        <f>1666000/1.19</f>
        <v>1400000</v>
      </c>
      <c r="T34" s="242">
        <f>S34*E34</f>
        <v>1400000</v>
      </c>
      <c r="U34" s="242">
        <f>AVERAGE(J34,L34,N34)</f>
        <v>395845.40712836862</v>
      </c>
      <c r="V34" s="242">
        <f>+MIN(J34,L34,N34)</f>
        <v>237068.96551724139</v>
      </c>
      <c r="W34" s="242">
        <f>MEDIAN(J34,L34,N34)</f>
        <v>395845.40712836862</v>
      </c>
      <c r="X34" s="243">
        <f>GEOMEAN(J34,L34,N34)</f>
        <v>362606.71247776452</v>
      </c>
      <c r="Y34" s="241">
        <f t="shared" si="19"/>
        <v>1473500</v>
      </c>
      <c r="Z34" s="253">
        <f>X34</f>
        <v>362606.71247776452</v>
      </c>
      <c r="AA34" s="232"/>
      <c r="AB34" s="232"/>
    </row>
    <row r="35" spans="1:28" s="269" customFormat="1" ht="27.75" customHeight="1" x14ac:dyDescent="0.15">
      <c r="A35" s="304" t="s">
        <v>166</v>
      </c>
      <c r="B35" s="305"/>
      <c r="C35" s="305"/>
      <c r="D35" s="305"/>
      <c r="E35" s="306"/>
      <c r="F35" s="264"/>
      <c r="G35" s="265">
        <f t="shared" ref="G35:Z35" si="42">SUM(G36:G36)</f>
        <v>2240000</v>
      </c>
      <c r="H35" s="265">
        <f t="shared" si="42"/>
        <v>2240000</v>
      </c>
      <c r="I35" s="265">
        <f t="shared" si="42"/>
        <v>4707983.1932773115</v>
      </c>
      <c r="J35" s="265">
        <f t="shared" si="42"/>
        <v>4707983.1932773115</v>
      </c>
      <c r="K35" s="265">
        <f t="shared" si="42"/>
        <v>315126.05042016809</v>
      </c>
      <c r="L35" s="265">
        <f t="shared" si="42"/>
        <v>315126.05042016809</v>
      </c>
      <c r="M35" s="265">
        <f t="shared" si="42"/>
        <v>0</v>
      </c>
      <c r="N35" s="265">
        <f t="shared" si="42"/>
        <v>0</v>
      </c>
      <c r="O35" s="265">
        <f t="shared" si="42"/>
        <v>1250000</v>
      </c>
      <c r="P35" s="265">
        <f t="shared" si="42"/>
        <v>1250000</v>
      </c>
      <c r="Q35" s="265">
        <f t="shared" si="42"/>
        <v>0</v>
      </c>
      <c r="R35" s="265">
        <f t="shared" si="42"/>
        <v>0</v>
      </c>
      <c r="S35" s="265">
        <f t="shared" si="42"/>
        <v>2500000</v>
      </c>
      <c r="T35" s="265">
        <f t="shared" si="42"/>
        <v>2500000</v>
      </c>
      <c r="U35" s="265">
        <f t="shared" si="42"/>
        <v>2511554.6218487397</v>
      </c>
      <c r="V35" s="265">
        <f t="shared" si="42"/>
        <v>315126.05042016809</v>
      </c>
      <c r="W35" s="265">
        <f t="shared" si="42"/>
        <v>2511554.6218487397</v>
      </c>
      <c r="X35" s="265">
        <f t="shared" si="42"/>
        <v>1218034.5434929216</v>
      </c>
      <c r="Y35" s="265">
        <f t="shared" si="42"/>
        <v>1875000</v>
      </c>
      <c r="Z35" s="265">
        <f t="shared" si="42"/>
        <v>1875000</v>
      </c>
      <c r="AA35" s="268">
        <v>2240000</v>
      </c>
      <c r="AB35" s="268">
        <f>+AA35-Z35</f>
        <v>365000</v>
      </c>
    </row>
    <row r="36" spans="1:28" s="138" customFormat="1" ht="27.75" customHeight="1" x14ac:dyDescent="0.15">
      <c r="A36" s="198">
        <v>25</v>
      </c>
      <c r="B36" s="149" t="s">
        <v>167</v>
      </c>
      <c r="C36" s="261" t="s">
        <v>168</v>
      </c>
      <c r="D36" s="149" t="s">
        <v>22</v>
      </c>
      <c r="E36" s="198">
        <v>1</v>
      </c>
      <c r="F36" s="147" t="s">
        <v>31</v>
      </c>
      <c r="G36" s="239">
        <v>2240000</v>
      </c>
      <c r="H36" s="242">
        <f t="shared" si="24"/>
        <v>2240000</v>
      </c>
      <c r="I36" s="248">
        <f>5602500/1.19</f>
        <v>4707983.1932773115</v>
      </c>
      <c r="J36" s="249">
        <f t="shared" ref="J36" si="43">+I36*E36</f>
        <v>4707983.1932773115</v>
      </c>
      <c r="K36" s="250">
        <f>375000/1.19</f>
        <v>315126.05042016809</v>
      </c>
      <c r="L36" s="239">
        <f>+K36*E36</f>
        <v>315126.05042016809</v>
      </c>
      <c r="M36" s="254"/>
      <c r="N36" s="242"/>
      <c r="O36" s="248">
        <f>1487500/1.19</f>
        <v>1250000</v>
      </c>
      <c r="P36" s="249">
        <f>O36*E36</f>
        <v>1250000</v>
      </c>
      <c r="Q36" s="254"/>
      <c r="R36" s="242"/>
      <c r="S36" s="250">
        <f>2975000/1.19</f>
        <v>2500000</v>
      </c>
      <c r="T36" s="239">
        <f>S36*E36</f>
        <v>2500000</v>
      </c>
      <c r="U36" s="239">
        <f>AVERAGE(J36,L36,N36)</f>
        <v>2511554.6218487397</v>
      </c>
      <c r="V36" s="239">
        <f>+MIN(J36,L36,N36)</f>
        <v>315126.05042016809</v>
      </c>
      <c r="W36" s="239">
        <f>MEDIAN(J36,L36,N36)</f>
        <v>2511554.6218487397</v>
      </c>
      <c r="X36" s="240">
        <f>GEOMEAN(J36,L36,N36)</f>
        <v>1218034.5434929216</v>
      </c>
      <c r="Y36" s="241">
        <f t="shared" si="19"/>
        <v>1875000</v>
      </c>
      <c r="Z36" s="255">
        <f>Y36</f>
        <v>1875000</v>
      </c>
      <c r="AA36" s="233"/>
      <c r="AB36" s="233"/>
    </row>
    <row r="37" spans="1:28" s="269" customFormat="1" ht="27.75" customHeight="1" x14ac:dyDescent="0.15">
      <c r="A37" s="304" t="s">
        <v>356</v>
      </c>
      <c r="B37" s="305"/>
      <c r="C37" s="305"/>
      <c r="D37" s="305"/>
      <c r="E37" s="306"/>
      <c r="F37" s="264"/>
      <c r="G37" s="265">
        <f t="shared" ref="G37:U37" si="44">SUM(G38:G38)</f>
        <v>1088125</v>
      </c>
      <c r="H37" s="265">
        <f t="shared" si="44"/>
        <v>1088125</v>
      </c>
      <c r="I37" s="265">
        <f t="shared" si="44"/>
        <v>100840.33613445378</v>
      </c>
      <c r="J37" s="265">
        <f t="shared" si="44"/>
        <v>100840.33613445378</v>
      </c>
      <c r="K37" s="265">
        <f t="shared" si="44"/>
        <v>183718.48739495798</v>
      </c>
      <c r="L37" s="265">
        <f t="shared" si="44"/>
        <v>183718.48739495798</v>
      </c>
      <c r="M37" s="265">
        <f t="shared" si="44"/>
        <v>0</v>
      </c>
      <c r="N37" s="265">
        <f t="shared" si="44"/>
        <v>0</v>
      </c>
      <c r="O37" s="265">
        <f t="shared" si="44"/>
        <v>2975000</v>
      </c>
      <c r="P37" s="265">
        <f t="shared" si="44"/>
        <v>2975000</v>
      </c>
      <c r="Q37" s="265">
        <f t="shared" si="44"/>
        <v>0</v>
      </c>
      <c r="R37" s="265">
        <f t="shared" si="44"/>
        <v>0</v>
      </c>
      <c r="S37" s="265">
        <f t="shared" si="44"/>
        <v>16000000</v>
      </c>
      <c r="T37" s="265">
        <f t="shared" si="44"/>
        <v>16000000</v>
      </c>
      <c r="U37" s="265">
        <f t="shared" si="44"/>
        <v>142279.41176470587</v>
      </c>
      <c r="V37" s="265">
        <f>SUM(V38:V38)</f>
        <v>100840.33613445378</v>
      </c>
      <c r="W37" s="265">
        <f>SUM(W38:W38)</f>
        <v>142279.41176470587</v>
      </c>
      <c r="X37" s="266">
        <f>SUM(X38:X38)</f>
        <v>136111.10910951014</v>
      </c>
      <c r="Y37" s="266">
        <f t="shared" ref="Y37:Z37" si="45">SUM(Y38:Y38)</f>
        <v>9487500</v>
      </c>
      <c r="Z37" s="266">
        <f t="shared" si="45"/>
        <v>136111.10910951014</v>
      </c>
      <c r="AA37" s="268">
        <v>10100125</v>
      </c>
      <c r="AB37" s="268"/>
    </row>
    <row r="38" spans="1:28" ht="27.75" customHeight="1" x14ac:dyDescent="0.15">
      <c r="A38" s="198">
        <v>26</v>
      </c>
      <c r="B38" s="149" t="s">
        <v>201</v>
      </c>
      <c r="C38" s="261" t="s">
        <v>202</v>
      </c>
      <c r="D38" s="149" t="s">
        <v>22</v>
      </c>
      <c r="E38" s="198">
        <v>1</v>
      </c>
      <c r="F38" s="147" t="s">
        <v>31</v>
      </c>
      <c r="G38" s="239">
        <v>1088125</v>
      </c>
      <c r="H38" s="239">
        <f t="shared" si="24"/>
        <v>1088125</v>
      </c>
      <c r="I38" s="248">
        <f>120000/1.19</f>
        <v>100840.33613445378</v>
      </c>
      <c r="J38" s="249">
        <f t="shared" ref="J38" si="46">+I38*E38</f>
        <v>100840.33613445378</v>
      </c>
      <c r="K38" s="250">
        <f>218625/1.19</f>
        <v>183718.48739495798</v>
      </c>
      <c r="L38" s="239">
        <f t="shared" ref="L38" si="47">+K38*E38</f>
        <v>183718.48739495798</v>
      </c>
      <c r="M38" s="252"/>
      <c r="N38" s="239"/>
      <c r="O38" s="248">
        <f>3540250/1.19</f>
        <v>2975000</v>
      </c>
      <c r="P38" s="249">
        <f>O38*E38</f>
        <v>2975000</v>
      </c>
      <c r="Q38" s="252"/>
      <c r="R38" s="239"/>
      <c r="S38" s="250">
        <f>19040000/1.19</f>
        <v>16000000</v>
      </c>
      <c r="T38" s="239">
        <f>S38*E38</f>
        <v>16000000</v>
      </c>
      <c r="U38" s="239">
        <f>AVERAGE(J38,L38,N38)</f>
        <v>142279.41176470587</v>
      </c>
      <c r="V38" s="239">
        <f>+MIN(J38,L38,N38)</f>
        <v>100840.33613445378</v>
      </c>
      <c r="W38" s="239">
        <f>MEDIAN(J38,L38,N38)</f>
        <v>142279.41176470587</v>
      </c>
      <c r="X38" s="240">
        <f>GEOMEAN(J38,L38,N38)</f>
        <v>136111.10910951014</v>
      </c>
      <c r="Y38" s="241">
        <f>AVERAGE(S38,O38)</f>
        <v>9487500</v>
      </c>
      <c r="Z38" s="253">
        <f>X38</f>
        <v>136111.10910951014</v>
      </c>
    </row>
    <row r="39" spans="1:28" ht="27.75" customHeight="1" x14ac:dyDescent="0.15">
      <c r="A39" s="307" t="s">
        <v>339</v>
      </c>
      <c r="B39" s="307"/>
      <c r="C39" s="307"/>
      <c r="D39" s="307"/>
      <c r="E39" s="307"/>
      <c r="F39" s="307"/>
      <c r="G39" s="307"/>
      <c r="H39" s="257">
        <f>+H3+H6+H10+H20+H23+H25+H30+H32+H37+H35</f>
        <v>154140544</v>
      </c>
      <c r="I39" s="257">
        <f t="shared" ref="I39:Z39" si="48">+I3+I6+I10+I20+I23+I25+I30+I32+I35+I37</f>
        <v>57288372.267989568</v>
      </c>
      <c r="J39" s="257">
        <f t="shared" si="48"/>
        <v>65304355.235294126</v>
      </c>
      <c r="K39" s="257">
        <f t="shared" si="48"/>
        <v>14572507.620979428</v>
      </c>
      <c r="L39" s="257">
        <f t="shared" si="48"/>
        <v>15230490.814256739</v>
      </c>
      <c r="M39" s="257">
        <f t="shared" si="48"/>
        <v>7055534.4733893536</v>
      </c>
      <c r="N39" s="257">
        <f t="shared" si="48"/>
        <v>7536601.1400560187</v>
      </c>
      <c r="O39" s="257">
        <f t="shared" si="48"/>
        <v>130186000</v>
      </c>
      <c r="P39" s="257">
        <f t="shared" si="48"/>
        <v>135697000</v>
      </c>
      <c r="Q39" s="257">
        <f t="shared" si="48"/>
        <v>0</v>
      </c>
      <c r="R39" s="257">
        <f t="shared" si="48"/>
        <v>0</v>
      </c>
      <c r="S39" s="257">
        <f t="shared" si="48"/>
        <v>132481270.5882353</v>
      </c>
      <c r="T39" s="257">
        <f t="shared" si="48"/>
        <v>139347825.21008402</v>
      </c>
      <c r="U39" s="257">
        <f t="shared" si="48"/>
        <v>45119586.73672688</v>
      </c>
      <c r="V39" s="257">
        <f t="shared" si="48"/>
        <v>28808860.634985026</v>
      </c>
      <c r="W39" s="257">
        <f t="shared" si="48"/>
        <v>41050468.709649384</v>
      </c>
      <c r="X39" s="257">
        <f t="shared" si="48"/>
        <v>39124660.772318795</v>
      </c>
      <c r="Y39" s="257">
        <f t="shared" si="48"/>
        <v>136732659.24369746</v>
      </c>
      <c r="Z39" s="257">
        <f t="shared" si="48"/>
        <v>117791867.23489773</v>
      </c>
      <c r="AA39" s="195">
        <f t="shared" ref="AA39:AB39" si="49">+AA3+AA6+AA10+AA20+AA23+AA25+AA30+AA32+AA35+AA37</f>
        <v>145755644</v>
      </c>
      <c r="AB39" s="195">
        <f t="shared" si="49"/>
        <v>21048392.225344993</v>
      </c>
    </row>
    <row r="40" spans="1:28" ht="27.75" customHeight="1" x14ac:dyDescent="0.15">
      <c r="H40" s="244">
        <v>154140544</v>
      </c>
      <c r="P40" s="245">
        <v>151824960</v>
      </c>
      <c r="Y40" s="246"/>
      <c r="AA40" s="231">
        <v>143140544</v>
      </c>
    </row>
    <row r="41" spans="1:28" ht="27.75" customHeight="1" x14ac:dyDescent="0.15">
      <c r="H41" s="244">
        <f>H39-H40</f>
        <v>0</v>
      </c>
      <c r="P41" s="245">
        <f>+P40-P39</f>
        <v>16127960</v>
      </c>
      <c r="AA41" s="231">
        <f>+AA40-AA39</f>
        <v>-2615100</v>
      </c>
    </row>
    <row r="43" spans="1:28" ht="27.75" customHeight="1" x14ac:dyDescent="0.15">
      <c r="O43" s="245" t="s">
        <v>12</v>
      </c>
    </row>
    <row r="44" spans="1:28" ht="27.75" customHeight="1" x14ac:dyDescent="0.15">
      <c r="O44" s="245" t="s">
        <v>350</v>
      </c>
    </row>
    <row r="45" spans="1:28" ht="27.75" customHeight="1" x14ac:dyDescent="0.15">
      <c r="O45" s="245" t="s">
        <v>351</v>
      </c>
    </row>
    <row r="1048503" spans="8:8" ht="27.75" customHeight="1" x14ac:dyDescent="0.15">
      <c r="H1048503" s="242">
        <f t="shared" ref="H1048503" si="50">G1048503*E1048503</f>
        <v>0</v>
      </c>
    </row>
  </sheetData>
  <autoFilter ref="A2:AA41"/>
  <mergeCells count="31">
    <mergeCell ref="O1:P1"/>
    <mergeCell ref="A1:A2"/>
    <mergeCell ref="B1:B2"/>
    <mergeCell ref="C1:C2"/>
    <mergeCell ref="D1:D2"/>
    <mergeCell ref="E1:E2"/>
    <mergeCell ref="F1:F2"/>
    <mergeCell ref="Y1:Y2"/>
    <mergeCell ref="Z1:Z2"/>
    <mergeCell ref="A3:E3"/>
    <mergeCell ref="A6:E6"/>
    <mergeCell ref="A10:E10"/>
    <mergeCell ref="Q1:R1"/>
    <mergeCell ref="S1:T1"/>
    <mergeCell ref="U1:U2"/>
    <mergeCell ref="V1:V2"/>
    <mergeCell ref="W1:W2"/>
    <mergeCell ref="X1:X2"/>
    <mergeCell ref="G1:G2"/>
    <mergeCell ref="H1:H2"/>
    <mergeCell ref="I1:J1"/>
    <mergeCell ref="K1:L1"/>
    <mergeCell ref="M1:N1"/>
    <mergeCell ref="A35:E35"/>
    <mergeCell ref="A37:E37"/>
    <mergeCell ref="A39:G39"/>
    <mergeCell ref="A20:E20"/>
    <mergeCell ref="A23:E23"/>
    <mergeCell ref="A25:E25"/>
    <mergeCell ref="A30:E30"/>
    <mergeCell ref="A32:E32"/>
  </mergeCells>
  <pageMargins left="0.7" right="0.7" top="0.75" bottom="0.75" header="0.3" footer="0.3"/>
  <pageSetup scale="29" orientation="portrait" r:id="rId1"/>
  <colBreaks count="1" manualBreakCount="1">
    <brk id="20" max="1048575" man="1"/>
  </col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59999389629810485"/>
  </sheetPr>
  <dimension ref="A1:AC1048545"/>
  <sheetViews>
    <sheetView tabSelected="1" view="pageBreakPreview" zoomScale="124" zoomScaleNormal="124" zoomScaleSheetLayoutView="124" workbookViewId="0">
      <pane xSplit="5" ySplit="3" topLeftCell="V65" activePane="bottomRight" state="frozen"/>
      <selection pane="topRight" activeCell="E1" sqref="E1"/>
      <selection pane="bottomLeft" activeCell="A4" sqref="A4"/>
      <selection pane="bottomRight" activeCell="Z71" sqref="Z71"/>
    </sheetView>
  </sheetViews>
  <sheetFormatPr baseColWidth="10" defaultRowHeight="27.75" customHeight="1" x14ac:dyDescent="0.15"/>
  <cols>
    <col min="1" max="1" width="5.85546875" style="201" bestFit="1" customWidth="1"/>
    <col min="2" max="2" width="39.42578125" style="139" customWidth="1"/>
    <col min="3" max="3" width="57.28515625" style="139" hidden="1" customWidth="1"/>
    <col min="4" max="4" width="9.42578125" style="139" bestFit="1" customWidth="1"/>
    <col min="5" max="5" width="5.28515625" style="211" bestFit="1" customWidth="1"/>
    <col min="6" max="6" width="5.7109375" style="139" bestFit="1" customWidth="1"/>
    <col min="7" max="7" width="14.85546875" style="244" customWidth="1"/>
    <col min="8" max="8" width="12.28515625" style="244" bestFit="1" customWidth="1"/>
    <col min="9" max="9" width="11.85546875" style="244" bestFit="1" customWidth="1"/>
    <col min="10" max="11" width="12.5703125" style="244" bestFit="1" customWidth="1"/>
    <col min="12" max="12" width="12.85546875" style="244" bestFit="1" customWidth="1"/>
    <col min="13" max="13" width="11.42578125" style="244" bestFit="1" customWidth="1"/>
    <col min="14" max="14" width="12.28515625" style="244" bestFit="1" customWidth="1"/>
    <col min="15" max="15" width="8" style="244" bestFit="1" customWidth="1"/>
    <col min="16" max="16" width="5.7109375" style="244" bestFit="1" customWidth="1"/>
    <col min="17" max="17" width="11.5703125" style="244" bestFit="1" customWidth="1"/>
    <col min="18" max="18" width="12" style="244" bestFit="1" customWidth="1"/>
    <col min="19" max="19" width="8" style="244" bestFit="1" customWidth="1"/>
    <col min="20" max="20" width="5.7109375" style="244" bestFit="1" customWidth="1"/>
    <col min="21" max="21" width="12.7109375" style="244" bestFit="1" customWidth="1"/>
    <col min="22" max="24" width="15.7109375" style="244" customWidth="1"/>
    <col min="25" max="25" width="15" style="260" bestFit="1" customWidth="1"/>
    <col min="26" max="26" width="15.7109375" style="244" customWidth="1"/>
    <col min="27" max="28" width="14.140625" style="231" customWidth="1"/>
    <col min="29" max="16384" width="11.42578125" style="137"/>
  </cols>
  <sheetData>
    <row r="1" spans="1:28" ht="27.75" customHeight="1" x14ac:dyDescent="0.15">
      <c r="A1" s="303" t="s">
        <v>0</v>
      </c>
      <c r="B1" s="302" t="s">
        <v>1</v>
      </c>
      <c r="C1" s="302" t="s">
        <v>3</v>
      </c>
      <c r="D1" s="302" t="s">
        <v>4</v>
      </c>
      <c r="E1" s="303" t="s">
        <v>5</v>
      </c>
      <c r="F1" s="302" t="s">
        <v>6</v>
      </c>
      <c r="G1" s="313" t="s">
        <v>359</v>
      </c>
      <c r="H1" s="313" t="s">
        <v>360</v>
      </c>
      <c r="I1" s="313" t="s">
        <v>9</v>
      </c>
      <c r="J1" s="313"/>
      <c r="K1" s="310" t="s">
        <v>10</v>
      </c>
      <c r="L1" s="310"/>
      <c r="M1" s="310" t="s">
        <v>11</v>
      </c>
      <c r="N1" s="310"/>
      <c r="O1" s="313" t="s">
        <v>223</v>
      </c>
      <c r="P1" s="313"/>
      <c r="Q1" s="310" t="s">
        <v>224</v>
      </c>
      <c r="R1" s="310"/>
      <c r="S1" s="310" t="s">
        <v>225</v>
      </c>
      <c r="T1" s="310"/>
      <c r="U1" s="310" t="s">
        <v>12</v>
      </c>
      <c r="V1" s="310" t="s">
        <v>13</v>
      </c>
      <c r="W1" s="310" t="s">
        <v>14</v>
      </c>
      <c r="X1" s="311" t="s">
        <v>15</v>
      </c>
      <c r="Y1" s="308" t="s">
        <v>361</v>
      </c>
      <c r="Z1" s="313" t="s">
        <v>362</v>
      </c>
    </row>
    <row r="2" spans="1:28" ht="27.75" customHeight="1" x14ac:dyDescent="0.15">
      <c r="A2" s="303"/>
      <c r="B2" s="302"/>
      <c r="C2" s="302"/>
      <c r="D2" s="302"/>
      <c r="E2" s="303"/>
      <c r="F2" s="302"/>
      <c r="G2" s="313"/>
      <c r="H2" s="313"/>
      <c r="I2" s="238" t="s">
        <v>17</v>
      </c>
      <c r="J2" s="238" t="s">
        <v>18</v>
      </c>
      <c r="K2" s="238" t="s">
        <v>17</v>
      </c>
      <c r="L2" s="238" t="s">
        <v>18</v>
      </c>
      <c r="M2" s="238" t="s">
        <v>17</v>
      </c>
      <c r="N2" s="238" t="s">
        <v>18</v>
      </c>
      <c r="O2" s="238" t="s">
        <v>17</v>
      </c>
      <c r="P2" s="238" t="s">
        <v>18</v>
      </c>
      <c r="Q2" s="238" t="s">
        <v>17</v>
      </c>
      <c r="R2" s="238" t="s">
        <v>18</v>
      </c>
      <c r="S2" s="238" t="s">
        <v>17</v>
      </c>
      <c r="T2" s="238" t="s">
        <v>18</v>
      </c>
      <c r="U2" s="310"/>
      <c r="V2" s="310"/>
      <c r="W2" s="310"/>
      <c r="X2" s="312"/>
      <c r="Y2" s="308"/>
      <c r="Z2" s="313"/>
    </row>
    <row r="3" spans="1:28" s="269" customFormat="1" ht="27.75" customHeight="1" x14ac:dyDescent="0.15">
      <c r="A3" s="304" t="s">
        <v>19</v>
      </c>
      <c r="B3" s="305"/>
      <c r="C3" s="305"/>
      <c r="D3" s="305"/>
      <c r="E3" s="306"/>
      <c r="F3" s="264"/>
      <c r="G3" s="265">
        <f t="shared" ref="G3:Y3" si="0">SUM(G4:G4)</f>
        <v>5000000</v>
      </c>
      <c r="H3" s="265">
        <f t="shared" si="0"/>
        <v>5000000</v>
      </c>
      <c r="I3" s="265">
        <f t="shared" si="0"/>
        <v>801428.57142857148</v>
      </c>
      <c r="J3" s="265">
        <f t="shared" si="0"/>
        <v>801428.57142857148</v>
      </c>
      <c r="K3" s="265">
        <f t="shared" si="0"/>
        <v>0</v>
      </c>
      <c r="L3" s="265">
        <f t="shared" si="0"/>
        <v>0</v>
      </c>
      <c r="M3" s="265">
        <f t="shared" si="0"/>
        <v>0</v>
      </c>
      <c r="N3" s="265">
        <f t="shared" si="0"/>
        <v>0</v>
      </c>
      <c r="O3" s="265">
        <f t="shared" si="0"/>
        <v>0</v>
      </c>
      <c r="P3" s="265">
        <f t="shared" si="0"/>
        <v>0</v>
      </c>
      <c r="Q3" s="265">
        <f t="shared" si="0"/>
        <v>2823529.411764706</v>
      </c>
      <c r="R3" s="265">
        <f t="shared" si="0"/>
        <v>2823529.411764706</v>
      </c>
      <c r="S3" s="265">
        <f t="shared" si="0"/>
        <v>0</v>
      </c>
      <c r="T3" s="265">
        <f t="shared" si="0"/>
        <v>0</v>
      </c>
      <c r="U3" s="265">
        <f>+U4</f>
        <v>801428.57142857148</v>
      </c>
      <c r="V3" s="265">
        <f>SUM(V4:V4)</f>
        <v>801428.57142857148</v>
      </c>
      <c r="W3" s="265">
        <f>SUM(W4:W4)</f>
        <v>801428.57142857148</v>
      </c>
      <c r="X3" s="266">
        <f t="shared" si="0"/>
        <v>801428.57142857148</v>
      </c>
      <c r="Y3" s="266">
        <f t="shared" si="0"/>
        <v>2823529.411764706</v>
      </c>
      <c r="Z3" s="267">
        <f>SUM(Z4:Z4)</f>
        <v>2823529.411764706</v>
      </c>
      <c r="AA3" s="268">
        <v>5000000</v>
      </c>
      <c r="AB3" s="268">
        <f>+AA3-Z3</f>
        <v>2176470.588235294</v>
      </c>
    </row>
    <row r="4" spans="1:28" s="138" customFormat="1" ht="24.75" x14ac:dyDescent="0.15">
      <c r="A4" s="198">
        <v>1</v>
      </c>
      <c r="B4" s="148" t="s">
        <v>222</v>
      </c>
      <c r="C4" s="149" t="s">
        <v>21</v>
      </c>
      <c r="D4" s="149" t="s">
        <v>22</v>
      </c>
      <c r="E4" s="198">
        <v>1</v>
      </c>
      <c r="F4" s="147" t="s">
        <v>23</v>
      </c>
      <c r="G4" s="239">
        <v>5000000</v>
      </c>
      <c r="H4" s="239">
        <f>E4*G4</f>
        <v>5000000</v>
      </c>
      <c r="I4" s="239">
        <f>953700/1.19</f>
        <v>801428.57142857148</v>
      </c>
      <c r="J4" s="249">
        <f>+I4*E4</f>
        <v>801428.57142857148</v>
      </c>
      <c r="K4" s="252"/>
      <c r="L4" s="239"/>
      <c r="M4" s="252"/>
      <c r="N4" s="239"/>
      <c r="O4" s="239"/>
      <c r="P4" s="249"/>
      <c r="Q4" s="252">
        <f>3360000/1.19</f>
        <v>2823529.411764706</v>
      </c>
      <c r="R4" s="239">
        <f>Q4*E4</f>
        <v>2823529.411764706</v>
      </c>
      <c r="S4" s="252"/>
      <c r="T4" s="239"/>
      <c r="U4" s="239">
        <f>AVERAGE(J4,L4,N4)</f>
        <v>801428.57142857148</v>
      </c>
      <c r="V4" s="239">
        <f>+MIN(J4,L4,N4)</f>
        <v>801428.57142857148</v>
      </c>
      <c r="W4" s="239">
        <f>MEDIAN(J4,L4,N4)</f>
        <v>801428.57142857148</v>
      </c>
      <c r="X4" s="240">
        <f>GEOMEAN(J4,L4,N4)</f>
        <v>801428.57142857148</v>
      </c>
      <c r="Y4" s="281">
        <f>AVERAGE(P4,R4,T4)</f>
        <v>2823529.411764706</v>
      </c>
      <c r="Z4" s="255">
        <f>R4</f>
        <v>2823529.411764706</v>
      </c>
      <c r="AA4" s="233"/>
      <c r="AB4" s="233"/>
    </row>
    <row r="5" spans="1:28" s="269" customFormat="1" ht="27.75" customHeight="1" x14ac:dyDescent="0.15">
      <c r="A5" s="304" t="s">
        <v>344</v>
      </c>
      <c r="B5" s="305"/>
      <c r="C5" s="305"/>
      <c r="D5" s="305"/>
      <c r="E5" s="306"/>
      <c r="F5" s="264"/>
      <c r="G5" s="265">
        <f t="shared" ref="G5:U5" si="1">SUM(G6:G7)</f>
        <v>4569494</v>
      </c>
      <c r="H5" s="265">
        <f t="shared" si="1"/>
        <v>4569494</v>
      </c>
      <c r="I5" s="265">
        <f t="shared" si="1"/>
        <v>5139327.7310924381</v>
      </c>
      <c r="J5" s="265">
        <f t="shared" si="1"/>
        <v>5139327.7310924381</v>
      </c>
      <c r="K5" s="265">
        <f t="shared" si="1"/>
        <v>2949579.8319327733</v>
      </c>
      <c r="L5" s="265">
        <f t="shared" si="1"/>
        <v>2949579.8319327733</v>
      </c>
      <c r="M5" s="265">
        <f t="shared" si="1"/>
        <v>0</v>
      </c>
      <c r="N5" s="265">
        <f t="shared" si="1"/>
        <v>0</v>
      </c>
      <c r="O5" s="265">
        <f t="shared" si="1"/>
        <v>0</v>
      </c>
      <c r="P5" s="265">
        <f t="shared" si="1"/>
        <v>0</v>
      </c>
      <c r="Q5" s="265">
        <f t="shared" si="1"/>
        <v>2672268.9075630251</v>
      </c>
      <c r="R5" s="265">
        <f t="shared" si="1"/>
        <v>2672268.9075630251</v>
      </c>
      <c r="S5" s="265">
        <f t="shared" si="1"/>
        <v>0</v>
      </c>
      <c r="T5" s="265">
        <f t="shared" si="1"/>
        <v>0</v>
      </c>
      <c r="U5" s="265">
        <f t="shared" si="1"/>
        <v>4044453.7815126055</v>
      </c>
      <c r="V5" s="265">
        <f t="shared" ref="V5:Z5" si="2">SUM(V6:V7)</f>
        <v>1781722.6890756304</v>
      </c>
      <c r="W5" s="265">
        <f t="shared" si="2"/>
        <v>4044453.781512605</v>
      </c>
      <c r="X5" s="266">
        <f t="shared" si="2"/>
        <v>3289281.0123724393</v>
      </c>
      <c r="Y5" s="266">
        <f t="shared" si="2"/>
        <v>2672268.9075630251</v>
      </c>
      <c r="Z5" s="267">
        <f t="shared" si="2"/>
        <v>2365651.260504202</v>
      </c>
      <c r="AA5" s="268">
        <v>4569494</v>
      </c>
      <c r="AB5" s="268">
        <f>+AA5-Z5</f>
        <v>2203842.739495798</v>
      </c>
    </row>
    <row r="6" spans="1:28" s="138" customFormat="1" ht="27.75" customHeight="1" x14ac:dyDescent="0.15">
      <c r="A6" s="198">
        <v>2</v>
      </c>
      <c r="B6" s="148" t="s">
        <v>25</v>
      </c>
      <c r="C6" s="148" t="s">
        <v>26</v>
      </c>
      <c r="D6" s="149" t="s">
        <v>22</v>
      </c>
      <c r="E6" s="198">
        <v>1</v>
      </c>
      <c r="F6" s="147" t="s">
        <v>23</v>
      </c>
      <c r="G6" s="239">
        <v>2381373</v>
      </c>
      <c r="H6" s="239">
        <f t="shared" ref="H6:H10" si="3">E6*G6</f>
        <v>2381373</v>
      </c>
      <c r="I6" s="239">
        <f>159000/1.19</f>
        <v>133613.44537815126</v>
      </c>
      <c r="J6" s="249">
        <f t="shared" ref="J6:J9" si="4">+I6*E6</f>
        <v>133613.44537815126</v>
      </c>
      <c r="K6" s="252">
        <f>1548750/1.19</f>
        <v>1301470.5882352942</v>
      </c>
      <c r="L6" s="239">
        <f t="shared" ref="L6:L7" si="5">+K6*E6</f>
        <v>1301470.5882352942</v>
      </c>
      <c r="M6" s="252"/>
      <c r="N6" s="239"/>
      <c r="O6" s="239"/>
      <c r="P6" s="249"/>
      <c r="Q6" s="252">
        <f>1400000/1.19</f>
        <v>1176470.5882352942</v>
      </c>
      <c r="R6" s="239">
        <f>Q6*E6</f>
        <v>1176470.5882352942</v>
      </c>
      <c r="S6" s="252"/>
      <c r="T6" s="239"/>
      <c r="U6" s="239">
        <f t="shared" ref="U6:U7" si="6">AVERAGE(J6,L6,N6)</f>
        <v>717542.01680672274</v>
      </c>
      <c r="V6" s="239">
        <f t="shared" ref="V6:V7" si="7">+MIN(J6,L6,N6)</f>
        <v>133613.44537815126</v>
      </c>
      <c r="W6" s="239">
        <f t="shared" ref="W6:W7" si="8">MEDIAN(J6,L6,N6)</f>
        <v>717542.01680672274</v>
      </c>
      <c r="X6" s="240">
        <f t="shared" ref="X6:X7" si="9">GEOMEAN(J6,L6,N6)</f>
        <v>417005.95841360214</v>
      </c>
      <c r="Y6" s="281">
        <f t="shared" ref="Y6:Y7" si="10">AVERAGE(P6,R6,T6)</f>
        <v>1176470.5882352942</v>
      </c>
      <c r="Z6" s="255">
        <f>U6</f>
        <v>717542.01680672274</v>
      </c>
      <c r="AA6" s="233"/>
      <c r="AB6" s="233"/>
    </row>
    <row r="7" spans="1:28" s="138" customFormat="1" ht="27.75" customHeight="1" x14ac:dyDescent="0.15">
      <c r="A7" s="198">
        <v>3</v>
      </c>
      <c r="B7" s="148" t="s">
        <v>283</v>
      </c>
      <c r="C7" s="148" t="s">
        <v>28</v>
      </c>
      <c r="D7" s="149" t="s">
        <v>22</v>
      </c>
      <c r="E7" s="198">
        <v>1</v>
      </c>
      <c r="F7" s="147" t="s">
        <v>23</v>
      </c>
      <c r="G7" s="239">
        <v>2188121</v>
      </c>
      <c r="H7" s="239">
        <f t="shared" si="3"/>
        <v>2188121</v>
      </c>
      <c r="I7" s="239">
        <f>5956800/1.19</f>
        <v>5005714.2857142864</v>
      </c>
      <c r="J7" s="249">
        <f t="shared" si="4"/>
        <v>5005714.2857142864</v>
      </c>
      <c r="K7" s="252">
        <f>1961250/1.19</f>
        <v>1648109.2436974791</v>
      </c>
      <c r="L7" s="239">
        <f t="shared" si="5"/>
        <v>1648109.2436974791</v>
      </c>
      <c r="M7" s="252"/>
      <c r="N7" s="239"/>
      <c r="O7" s="239"/>
      <c r="P7" s="249"/>
      <c r="Q7" s="252">
        <f>1780000/1.19</f>
        <v>1495798.3193277312</v>
      </c>
      <c r="R7" s="239">
        <f>Q7*E7</f>
        <v>1495798.3193277312</v>
      </c>
      <c r="S7" s="252"/>
      <c r="T7" s="239"/>
      <c r="U7" s="239">
        <f t="shared" si="6"/>
        <v>3326911.7647058829</v>
      </c>
      <c r="V7" s="239">
        <f t="shared" si="7"/>
        <v>1648109.2436974791</v>
      </c>
      <c r="W7" s="239">
        <f t="shared" si="8"/>
        <v>3326911.7647058824</v>
      </c>
      <c r="X7" s="240">
        <f t="shared" si="9"/>
        <v>2872275.0539588369</v>
      </c>
      <c r="Y7" s="281">
        <f t="shared" si="10"/>
        <v>1495798.3193277312</v>
      </c>
      <c r="Z7" s="255">
        <f>V7</f>
        <v>1648109.2436974791</v>
      </c>
      <c r="AA7" s="233"/>
      <c r="AB7" s="233"/>
    </row>
    <row r="8" spans="1:28" s="269" customFormat="1" ht="27.75" customHeight="1" x14ac:dyDescent="0.15">
      <c r="A8" s="304" t="s">
        <v>345</v>
      </c>
      <c r="B8" s="305"/>
      <c r="C8" s="305"/>
      <c r="D8" s="305"/>
      <c r="E8" s="306"/>
      <c r="F8" s="264"/>
      <c r="G8" s="265">
        <f t="shared" ref="G8:V8" si="11">SUM(G9:G10)</f>
        <v>3930506</v>
      </c>
      <c r="H8" s="265">
        <f t="shared" si="11"/>
        <v>3930506</v>
      </c>
      <c r="I8" s="265">
        <f t="shared" si="11"/>
        <v>6904789.9159663869</v>
      </c>
      <c r="J8" s="265">
        <f t="shared" si="11"/>
        <v>6904789.9159663869</v>
      </c>
      <c r="K8" s="265">
        <f t="shared" si="11"/>
        <v>2819117.6470588236</v>
      </c>
      <c r="L8" s="265">
        <f t="shared" si="11"/>
        <v>2819117.6470588236</v>
      </c>
      <c r="M8" s="265">
        <f t="shared" si="11"/>
        <v>1000666.666666664</v>
      </c>
      <c r="N8" s="265">
        <f t="shared" si="11"/>
        <v>1000666.666666664</v>
      </c>
      <c r="O8" s="265">
        <f t="shared" si="11"/>
        <v>0</v>
      </c>
      <c r="P8" s="265">
        <f t="shared" si="11"/>
        <v>0</v>
      </c>
      <c r="Q8" s="265">
        <f t="shared" si="11"/>
        <v>3091764.7058823532</v>
      </c>
      <c r="R8" s="265">
        <f t="shared" si="11"/>
        <v>3091764.7058823532</v>
      </c>
      <c r="S8" s="265">
        <f t="shared" si="11"/>
        <v>0</v>
      </c>
      <c r="T8" s="265">
        <f t="shared" si="11"/>
        <v>0</v>
      </c>
      <c r="U8" s="265">
        <f t="shared" si="11"/>
        <v>4014966.6199813252</v>
      </c>
      <c r="V8" s="265">
        <f t="shared" si="11"/>
        <v>1662326.3305322102</v>
      </c>
      <c r="W8" s="265">
        <f t="shared" ref="W8:Z8" si="12">SUM(W9:W10)</f>
        <v>3477783.6134453784</v>
      </c>
      <c r="X8" s="266">
        <f t="shared" si="12"/>
        <v>3343353.6594536398</v>
      </c>
      <c r="Y8" s="266">
        <f t="shared" si="12"/>
        <v>3091764.7058823532</v>
      </c>
      <c r="Z8" s="267">
        <f t="shared" si="12"/>
        <v>3301756.420937852</v>
      </c>
      <c r="AA8" s="268">
        <v>3930506</v>
      </c>
      <c r="AB8" s="268">
        <f>+AA8-Z8</f>
        <v>628749.579062148</v>
      </c>
    </row>
    <row r="9" spans="1:28" s="138" customFormat="1" ht="27.75" customHeight="1" x14ac:dyDescent="0.15">
      <c r="A9" s="198">
        <v>4</v>
      </c>
      <c r="B9" s="148" t="s">
        <v>35</v>
      </c>
      <c r="C9" s="148" t="s">
        <v>36</v>
      </c>
      <c r="D9" s="149" t="s">
        <v>22</v>
      </c>
      <c r="E9" s="198">
        <v>1</v>
      </c>
      <c r="F9" s="147" t="s">
        <v>23</v>
      </c>
      <c r="G9" s="239">
        <v>1158489</v>
      </c>
      <c r="H9" s="239">
        <f t="shared" si="3"/>
        <v>1158489</v>
      </c>
      <c r="I9" s="239">
        <f>2355000/1.19</f>
        <v>1978991.5966386555</v>
      </c>
      <c r="J9" s="249">
        <f t="shared" si="4"/>
        <v>1978991.5966386555</v>
      </c>
      <c r="K9" s="252">
        <f>787375/1.19</f>
        <v>661659.66386554623</v>
      </c>
      <c r="L9" s="239">
        <f>+K9*E9</f>
        <v>661659.66386554623</v>
      </c>
      <c r="M9" s="252"/>
      <c r="N9" s="239"/>
      <c r="O9" s="239"/>
      <c r="P9" s="249"/>
      <c r="Q9" s="252">
        <f>879200/1.19</f>
        <v>738823.5294117647</v>
      </c>
      <c r="R9" s="239">
        <f>Q9*E9</f>
        <v>738823.5294117647</v>
      </c>
      <c r="S9" s="252"/>
      <c r="T9" s="239"/>
      <c r="U9" s="239">
        <f t="shared" ref="U9:U10" si="13">AVERAGE(J9,L9,N9)</f>
        <v>1320325.630252101</v>
      </c>
      <c r="V9" s="239">
        <f t="shared" ref="V9:V10" si="14">+MIN(J9,L9,N9)</f>
        <v>661659.66386554623</v>
      </c>
      <c r="W9" s="239">
        <f t="shared" ref="W9:W10" si="15">MEDIAN(J9,L9,N9)</f>
        <v>1320325.630252101</v>
      </c>
      <c r="X9" s="240">
        <f t="shared" ref="X9:X10" si="16">GEOMEAN(J9,L9,N9)</f>
        <v>1144298.4377445744</v>
      </c>
      <c r="Y9" s="281">
        <f t="shared" ref="Y9:Y10" si="17">AVERAGE(P9,R9,T9)</f>
        <v>738823.5294117647</v>
      </c>
      <c r="Z9" s="255">
        <f>X9</f>
        <v>1144298.4377445744</v>
      </c>
      <c r="AA9" s="233"/>
      <c r="AB9" s="233"/>
    </row>
    <row r="10" spans="1:28" s="138" customFormat="1" ht="27.75" customHeight="1" x14ac:dyDescent="0.15">
      <c r="A10" s="198">
        <v>5</v>
      </c>
      <c r="B10" s="148" t="s">
        <v>37</v>
      </c>
      <c r="C10" s="148" t="s">
        <v>38</v>
      </c>
      <c r="D10" s="149" t="s">
        <v>22</v>
      </c>
      <c r="E10" s="198">
        <v>1</v>
      </c>
      <c r="F10" s="147" t="s">
        <v>23</v>
      </c>
      <c r="G10" s="239">
        <v>2772017</v>
      </c>
      <c r="H10" s="239">
        <f t="shared" si="3"/>
        <v>2772017</v>
      </c>
      <c r="I10" s="239">
        <f>5861700/1.19</f>
        <v>4925798.3193277316</v>
      </c>
      <c r="J10" s="249">
        <f>+I10*E10</f>
        <v>4925798.3193277316</v>
      </c>
      <c r="K10" s="252">
        <f>2567375/1.19</f>
        <v>2157457.9831932774</v>
      </c>
      <c r="L10" s="239">
        <f t="shared" ref="L10" si="18">+K10*E10</f>
        <v>2157457.9831932774</v>
      </c>
      <c r="M10" s="252">
        <f>1190793.33333333/1.19</f>
        <v>1000666.666666664</v>
      </c>
      <c r="N10" s="239">
        <f t="shared" ref="N10" si="19">+M10*E10</f>
        <v>1000666.666666664</v>
      </c>
      <c r="O10" s="239"/>
      <c r="P10" s="249"/>
      <c r="Q10" s="252">
        <f>2800000/1.19</f>
        <v>2352941.1764705884</v>
      </c>
      <c r="R10" s="239">
        <f>Q10*E10</f>
        <v>2352941.1764705884</v>
      </c>
      <c r="S10" s="252"/>
      <c r="T10" s="239"/>
      <c r="U10" s="239">
        <f t="shared" si="13"/>
        <v>2694640.9897292242</v>
      </c>
      <c r="V10" s="239">
        <f t="shared" si="14"/>
        <v>1000666.666666664</v>
      </c>
      <c r="W10" s="239">
        <f t="shared" si="15"/>
        <v>2157457.9831932774</v>
      </c>
      <c r="X10" s="240">
        <f t="shared" si="16"/>
        <v>2199055.2217090651</v>
      </c>
      <c r="Y10" s="281">
        <f t="shared" si="17"/>
        <v>2352941.1764705884</v>
      </c>
      <c r="Z10" s="255">
        <f>+W10</f>
        <v>2157457.9831932774</v>
      </c>
      <c r="AA10" s="233"/>
      <c r="AB10" s="233"/>
    </row>
    <row r="11" spans="1:28" s="269" customFormat="1" ht="27.75" customHeight="1" x14ac:dyDescent="0.15">
      <c r="A11" s="304" t="s">
        <v>346</v>
      </c>
      <c r="B11" s="305"/>
      <c r="C11" s="305"/>
      <c r="D11" s="305"/>
      <c r="E11" s="306"/>
      <c r="F11" s="264"/>
      <c r="G11" s="265">
        <f>SUM(G12:G46)</f>
        <v>26608490</v>
      </c>
      <c r="H11" s="265">
        <f>SUM(H12:H46)</f>
        <v>56132615</v>
      </c>
      <c r="I11" s="265">
        <f t="shared" ref="I11:U11" si="20">SUM(I12:I46)</f>
        <v>35278015.966386557</v>
      </c>
      <c r="J11" s="265">
        <f t="shared" si="20"/>
        <v>83060821.008403391</v>
      </c>
      <c r="K11" s="265">
        <f t="shared" si="20"/>
        <v>177134728.2065458</v>
      </c>
      <c r="L11" s="265">
        <f t="shared" si="20"/>
        <v>360733607.19814235</v>
      </c>
      <c r="M11" s="265">
        <f t="shared" si="20"/>
        <v>5904957.2464985996</v>
      </c>
      <c r="N11" s="265">
        <f t="shared" si="20"/>
        <v>15348639.577030819</v>
      </c>
      <c r="O11" s="265">
        <f t="shared" si="20"/>
        <v>0</v>
      </c>
      <c r="P11" s="265">
        <f t="shared" si="20"/>
        <v>0</v>
      </c>
      <c r="Q11" s="265">
        <f t="shared" si="20"/>
        <v>21158439.49579832</v>
      </c>
      <c r="R11" s="265">
        <f t="shared" si="20"/>
        <v>45138695.798319332</v>
      </c>
      <c r="S11" s="265">
        <f t="shared" si="20"/>
        <v>0</v>
      </c>
      <c r="T11" s="265">
        <f t="shared" si="20"/>
        <v>0</v>
      </c>
      <c r="U11" s="265">
        <f t="shared" si="20"/>
        <v>214050090.07572854</v>
      </c>
      <c r="V11" s="265">
        <f t="shared" ref="V11:Z11" si="21">SUM(V12:V46)</f>
        <v>21635424.032876309</v>
      </c>
      <c r="W11" s="265">
        <f t="shared" si="21"/>
        <v>204972968.88338497</v>
      </c>
      <c r="X11" s="266">
        <f t="shared" si="21"/>
        <v>45824319.867228374</v>
      </c>
      <c r="Y11" s="266">
        <f t="shared" si="21"/>
        <v>45138695.798319332</v>
      </c>
      <c r="Z11" s="267">
        <f t="shared" si="21"/>
        <v>41403335.895775929</v>
      </c>
      <c r="AA11" s="268">
        <v>56132615</v>
      </c>
      <c r="AB11" s="268">
        <f>+AA11-Z11</f>
        <v>14729279.104224071</v>
      </c>
    </row>
    <row r="12" spans="1:28" s="138" customFormat="1" ht="27.75" customHeight="1" x14ac:dyDescent="0.15">
      <c r="A12" s="198">
        <v>6</v>
      </c>
      <c r="B12" s="148" t="s">
        <v>51</v>
      </c>
      <c r="C12" s="148"/>
      <c r="D12" s="149" t="s">
        <v>48</v>
      </c>
      <c r="E12" s="198">
        <v>1</v>
      </c>
      <c r="F12" s="147" t="s">
        <v>23</v>
      </c>
      <c r="G12" s="239">
        <v>26554</v>
      </c>
      <c r="H12" s="239">
        <f t="shared" ref="H12:H46" si="22">G12*E12</f>
        <v>26554</v>
      </c>
      <c r="I12" s="239">
        <f>197997/1.19</f>
        <v>166384.03361344538</v>
      </c>
      <c r="J12" s="249">
        <f t="shared" ref="J12:J27" si="23">+I12*E12</f>
        <v>166384.03361344538</v>
      </c>
      <c r="K12" s="252">
        <f>56125/1.19</f>
        <v>47163.865546218491</v>
      </c>
      <c r="L12" s="239">
        <f t="shared" ref="L12:L46" si="24">+K12*E12</f>
        <v>47163.865546218491</v>
      </c>
      <c r="M12" s="252">
        <f>61086.66/1.19</f>
        <v>51333.327731092439</v>
      </c>
      <c r="N12" s="239">
        <f>+M12*E12</f>
        <v>51333.327731092439</v>
      </c>
      <c r="O12" s="239"/>
      <c r="P12" s="249"/>
      <c r="Q12" s="252">
        <f>39100/1.19</f>
        <v>32857.142857142855</v>
      </c>
      <c r="R12" s="239">
        <f t="shared" ref="R12:R27" si="25">Q12*E12</f>
        <v>32857.142857142855</v>
      </c>
      <c r="S12" s="252"/>
      <c r="T12" s="239"/>
      <c r="U12" s="239">
        <f t="shared" ref="U12:U46" si="26">AVERAGE(J12,L12,N12)</f>
        <v>88293.742296918776</v>
      </c>
      <c r="V12" s="239">
        <f t="shared" ref="V12:V46" si="27">+MIN(J12,L12,N12)</f>
        <v>47163.865546218491</v>
      </c>
      <c r="W12" s="239">
        <f t="shared" ref="W12:W46" si="28">MEDIAN(J12,L12,N12)</f>
        <v>51333.327731092439</v>
      </c>
      <c r="X12" s="240">
        <f t="shared" ref="X12:X46" si="29">GEOMEAN(J12,L12,N12)</f>
        <v>73853.908948474011</v>
      </c>
      <c r="Y12" s="281">
        <f t="shared" ref="Y12:Y46" si="30">AVERAGE(P12,R12,T12)</f>
        <v>32857.142857142855</v>
      </c>
      <c r="Z12" s="255">
        <f>W12</f>
        <v>51333.327731092439</v>
      </c>
      <c r="AA12" s="233"/>
      <c r="AB12" s="233"/>
    </row>
    <row r="13" spans="1:28" s="138" customFormat="1" ht="27.75" customHeight="1" x14ac:dyDescent="0.15">
      <c r="A13" s="198">
        <v>7</v>
      </c>
      <c r="B13" s="148" t="s">
        <v>53</v>
      </c>
      <c r="C13" s="148" t="s">
        <v>54</v>
      </c>
      <c r="D13" s="149" t="s">
        <v>48</v>
      </c>
      <c r="E13" s="198">
        <v>5</v>
      </c>
      <c r="F13" s="147" t="s">
        <v>23</v>
      </c>
      <c r="G13" s="239">
        <v>44290</v>
      </c>
      <c r="H13" s="239">
        <f t="shared" si="22"/>
        <v>221450</v>
      </c>
      <c r="I13" s="239">
        <f>197997/1.19</f>
        <v>166384.03361344538</v>
      </c>
      <c r="J13" s="249">
        <f t="shared" si="23"/>
        <v>831920.16806722688</v>
      </c>
      <c r="K13" s="252">
        <f>53625/1.19</f>
        <v>45063.025210084037</v>
      </c>
      <c r="L13" s="239">
        <f t="shared" si="24"/>
        <v>225315.12605042019</v>
      </c>
      <c r="M13" s="252">
        <f>51333.33/1.19</f>
        <v>43137.252100840342</v>
      </c>
      <c r="N13" s="239">
        <f>+M13*E13</f>
        <v>215686.26050420169</v>
      </c>
      <c r="O13" s="239"/>
      <c r="P13" s="249"/>
      <c r="Q13" s="252">
        <f>55900/1.19</f>
        <v>46974.789915966387</v>
      </c>
      <c r="R13" s="239">
        <f t="shared" si="25"/>
        <v>234873.94957983194</v>
      </c>
      <c r="S13" s="252"/>
      <c r="T13" s="239"/>
      <c r="U13" s="239">
        <f t="shared" si="26"/>
        <v>424307.18487394956</v>
      </c>
      <c r="V13" s="239">
        <f t="shared" si="27"/>
        <v>215686.26050420169</v>
      </c>
      <c r="W13" s="239">
        <f t="shared" si="28"/>
        <v>225315.12605042019</v>
      </c>
      <c r="X13" s="240">
        <f t="shared" si="29"/>
        <v>343213.86764382501</v>
      </c>
      <c r="Y13" s="281">
        <f t="shared" si="30"/>
        <v>234873.94957983194</v>
      </c>
      <c r="Z13" s="255">
        <f>Y13</f>
        <v>234873.94957983194</v>
      </c>
      <c r="AA13" s="233"/>
      <c r="AB13" s="233"/>
    </row>
    <row r="14" spans="1:28" s="138" customFormat="1" ht="27.75" customHeight="1" x14ac:dyDescent="0.15">
      <c r="A14" s="198">
        <v>8</v>
      </c>
      <c r="B14" s="148" t="s">
        <v>55</v>
      </c>
      <c r="C14" s="277" t="s">
        <v>56</v>
      </c>
      <c r="D14" s="149" t="s">
        <v>22</v>
      </c>
      <c r="E14" s="198">
        <v>1</v>
      </c>
      <c r="F14" s="147" t="s">
        <v>23</v>
      </c>
      <c r="G14" s="239">
        <v>249050</v>
      </c>
      <c r="H14" s="239">
        <f t="shared" si="22"/>
        <v>249050</v>
      </c>
      <c r="I14" s="239">
        <f>315000/1.19</f>
        <v>264705.8823529412</v>
      </c>
      <c r="J14" s="249">
        <f t="shared" si="23"/>
        <v>264705.8823529412</v>
      </c>
      <c r="K14" s="252">
        <f>244188/1.19</f>
        <v>205200</v>
      </c>
      <c r="L14" s="239">
        <f t="shared" si="24"/>
        <v>205200</v>
      </c>
      <c r="M14" s="252"/>
      <c r="N14" s="239"/>
      <c r="O14" s="239"/>
      <c r="P14" s="249"/>
      <c r="Q14" s="252">
        <f>414400/1.19</f>
        <v>348235.29411764705</v>
      </c>
      <c r="R14" s="239">
        <f t="shared" si="25"/>
        <v>348235.29411764705</v>
      </c>
      <c r="S14" s="252"/>
      <c r="T14" s="239"/>
      <c r="U14" s="239">
        <f t="shared" si="26"/>
        <v>234952.9411764706</v>
      </c>
      <c r="V14" s="239">
        <f t="shared" si="27"/>
        <v>205200</v>
      </c>
      <c r="W14" s="239">
        <f t="shared" si="28"/>
        <v>234952.9411764706</v>
      </c>
      <c r="X14" s="240">
        <f t="shared" si="29"/>
        <v>233061.46626764265</v>
      </c>
      <c r="Y14" s="281">
        <f t="shared" si="30"/>
        <v>348235.29411764705</v>
      </c>
      <c r="Z14" s="255">
        <f>W14</f>
        <v>234952.9411764706</v>
      </c>
      <c r="AA14" s="233"/>
      <c r="AB14" s="233"/>
    </row>
    <row r="15" spans="1:28" s="138" customFormat="1" ht="27.75" customHeight="1" x14ac:dyDescent="0.15">
      <c r="A15" s="198">
        <v>9</v>
      </c>
      <c r="B15" s="148" t="s">
        <v>57</v>
      </c>
      <c r="C15" s="148" t="s">
        <v>58</v>
      </c>
      <c r="D15" s="149" t="s">
        <v>22</v>
      </c>
      <c r="E15" s="198">
        <v>2</v>
      </c>
      <c r="F15" s="147" t="s">
        <v>23</v>
      </c>
      <c r="G15" s="239">
        <v>883196</v>
      </c>
      <c r="H15" s="239">
        <f t="shared" si="22"/>
        <v>1766392</v>
      </c>
      <c r="I15" s="239">
        <f>1755000/1.19</f>
        <v>1474789.9159663867</v>
      </c>
      <c r="J15" s="249">
        <f t="shared" si="23"/>
        <v>2949579.8319327733</v>
      </c>
      <c r="K15" s="252">
        <f>974875/1.19</f>
        <v>819222.68907563027</v>
      </c>
      <c r="L15" s="239">
        <f t="shared" si="24"/>
        <v>1638445.3781512605</v>
      </c>
      <c r="M15" s="252"/>
      <c r="N15" s="239"/>
      <c r="O15" s="239"/>
      <c r="P15" s="249"/>
      <c r="Q15" s="252">
        <f>1254300/1.19</f>
        <v>1054033.6134453781</v>
      </c>
      <c r="R15" s="239">
        <f t="shared" si="25"/>
        <v>2108067.2268907563</v>
      </c>
      <c r="S15" s="252"/>
      <c r="T15" s="239"/>
      <c r="U15" s="239">
        <f t="shared" si="26"/>
        <v>2294012.6050420171</v>
      </c>
      <c r="V15" s="239">
        <f t="shared" si="27"/>
        <v>1638445.3781512605</v>
      </c>
      <c r="W15" s="239">
        <f t="shared" si="28"/>
        <v>2294012.6050420171</v>
      </c>
      <c r="X15" s="240">
        <f t="shared" si="29"/>
        <v>2198346.0699167512</v>
      </c>
      <c r="Y15" s="281">
        <f t="shared" si="30"/>
        <v>2108067.2268907563</v>
      </c>
      <c r="Z15" s="255">
        <f>Y15</f>
        <v>2108067.2268907563</v>
      </c>
      <c r="AA15" s="233"/>
      <c r="AB15" s="233"/>
    </row>
    <row r="16" spans="1:28" s="138" customFormat="1" ht="27.75" customHeight="1" x14ac:dyDescent="0.15">
      <c r="A16" s="198">
        <v>10</v>
      </c>
      <c r="B16" s="148" t="s">
        <v>59</v>
      </c>
      <c r="C16" s="278" t="s">
        <v>60</v>
      </c>
      <c r="D16" s="149" t="s">
        <v>22</v>
      </c>
      <c r="E16" s="198">
        <v>5</v>
      </c>
      <c r="F16" s="147" t="s">
        <v>23</v>
      </c>
      <c r="G16" s="239">
        <v>37011</v>
      </c>
      <c r="H16" s="239">
        <f t="shared" si="22"/>
        <v>185055</v>
      </c>
      <c r="I16" s="239">
        <f>764700/1.19</f>
        <v>642605.04201680678</v>
      </c>
      <c r="J16" s="249">
        <f t="shared" si="23"/>
        <v>3213025.2100840341</v>
      </c>
      <c r="K16" s="252">
        <f>51125/1.19</f>
        <v>42962.184873949584</v>
      </c>
      <c r="L16" s="239">
        <f t="shared" si="24"/>
        <v>214810.92436974793</v>
      </c>
      <c r="M16" s="252">
        <f>76953.33/1.19</f>
        <v>64666.663865546223</v>
      </c>
      <c r="N16" s="239">
        <f>+M16*E16</f>
        <v>323333.31932773109</v>
      </c>
      <c r="O16" s="239"/>
      <c r="P16" s="249"/>
      <c r="Q16" s="252">
        <f>26800/1.19</f>
        <v>22521.008403361346</v>
      </c>
      <c r="R16" s="239">
        <f t="shared" si="25"/>
        <v>112605.04201680672</v>
      </c>
      <c r="S16" s="252"/>
      <c r="T16" s="239"/>
      <c r="U16" s="239">
        <f t="shared" si="26"/>
        <v>1250389.817927171</v>
      </c>
      <c r="V16" s="239">
        <f t="shared" si="27"/>
        <v>214810.92436974793</v>
      </c>
      <c r="W16" s="239">
        <f t="shared" si="28"/>
        <v>323333.31932773109</v>
      </c>
      <c r="X16" s="240">
        <f t="shared" si="29"/>
        <v>606559.84011958365</v>
      </c>
      <c r="Y16" s="281">
        <f t="shared" si="30"/>
        <v>112605.04201680672</v>
      </c>
      <c r="Z16" s="255">
        <f>Y16</f>
        <v>112605.04201680672</v>
      </c>
      <c r="AA16" s="233"/>
      <c r="AB16" s="233"/>
    </row>
    <row r="17" spans="1:28" s="138" customFormat="1" ht="27.75" customHeight="1" x14ac:dyDescent="0.15">
      <c r="A17" s="198">
        <v>11</v>
      </c>
      <c r="B17" s="148" t="s">
        <v>309</v>
      </c>
      <c r="C17" s="148" t="s">
        <v>62</v>
      </c>
      <c r="D17" s="149" t="s">
        <v>22</v>
      </c>
      <c r="E17" s="198">
        <v>1</v>
      </c>
      <c r="F17" s="147" t="s">
        <v>23</v>
      </c>
      <c r="G17" s="239">
        <v>2214934</v>
      </c>
      <c r="H17" s="239">
        <f t="shared" si="22"/>
        <v>2214934</v>
      </c>
      <c r="I17" s="239">
        <f>1170000/1.19</f>
        <v>983193.27731092437</v>
      </c>
      <c r="J17" s="249">
        <f t="shared" si="23"/>
        <v>983193.27731092437</v>
      </c>
      <c r="K17" s="252">
        <f>2010625/1.19</f>
        <v>1689600.8403361344</v>
      </c>
      <c r="L17" s="239">
        <f t="shared" si="24"/>
        <v>1689600.8403361344</v>
      </c>
      <c r="M17" s="252"/>
      <c r="N17" s="239"/>
      <c r="O17" s="239"/>
      <c r="P17" s="249"/>
      <c r="Q17" s="252">
        <f>1801600/1.19</f>
        <v>1513949.5798319329</v>
      </c>
      <c r="R17" s="239">
        <f t="shared" si="25"/>
        <v>1513949.5798319329</v>
      </c>
      <c r="S17" s="252"/>
      <c r="T17" s="239"/>
      <c r="U17" s="239">
        <f t="shared" si="26"/>
        <v>1336397.0588235294</v>
      </c>
      <c r="V17" s="239">
        <f t="shared" si="27"/>
        <v>983193.27731092437</v>
      </c>
      <c r="W17" s="239">
        <f t="shared" si="28"/>
        <v>1336397.0588235294</v>
      </c>
      <c r="X17" s="240">
        <f t="shared" si="29"/>
        <v>1288877.1033567847</v>
      </c>
      <c r="Y17" s="281">
        <f t="shared" si="30"/>
        <v>1513949.5798319329</v>
      </c>
      <c r="Z17" s="255">
        <f>Y17</f>
        <v>1513949.5798319329</v>
      </c>
      <c r="AA17" s="233"/>
      <c r="AB17" s="233"/>
    </row>
    <row r="18" spans="1:28" s="138" customFormat="1" ht="27.75" customHeight="1" x14ac:dyDescent="0.15">
      <c r="A18" s="198">
        <v>12</v>
      </c>
      <c r="B18" s="148" t="s">
        <v>63</v>
      </c>
      <c r="C18" s="148" t="s">
        <v>64</v>
      </c>
      <c r="D18" s="149" t="s">
        <v>22</v>
      </c>
      <c r="E18" s="198">
        <v>2</v>
      </c>
      <c r="F18" s="147" t="s">
        <v>23</v>
      </c>
      <c r="G18" s="239">
        <v>5730821</v>
      </c>
      <c r="H18" s="239">
        <f t="shared" si="22"/>
        <v>11461642</v>
      </c>
      <c r="I18" s="239">
        <f>119700/1.19</f>
        <v>100588.23529411765</v>
      </c>
      <c r="J18" s="249">
        <f t="shared" si="23"/>
        <v>201176.4705882353</v>
      </c>
      <c r="K18" s="252">
        <f>196350000/1.19</f>
        <v>165000000</v>
      </c>
      <c r="L18" s="239">
        <f t="shared" si="24"/>
        <v>330000000</v>
      </c>
      <c r="M18" s="252"/>
      <c r="N18" s="239"/>
      <c r="O18" s="239"/>
      <c r="P18" s="249"/>
      <c r="Q18" s="252">
        <f>4272100/1.19</f>
        <v>3590000</v>
      </c>
      <c r="R18" s="239">
        <f t="shared" si="25"/>
        <v>7180000</v>
      </c>
      <c r="S18" s="252"/>
      <c r="T18" s="239"/>
      <c r="U18" s="239">
        <f t="shared" si="26"/>
        <v>165100588.2352941</v>
      </c>
      <c r="V18" s="239">
        <f t="shared" si="27"/>
        <v>201176.4705882353</v>
      </c>
      <c r="W18" s="239">
        <f t="shared" si="28"/>
        <v>165100588.23529413</v>
      </c>
      <c r="X18" s="240">
        <f t="shared" si="29"/>
        <v>8147897.5996337635</v>
      </c>
      <c r="Y18" s="281">
        <f t="shared" si="30"/>
        <v>7180000</v>
      </c>
      <c r="Z18" s="255">
        <f>Y18</f>
        <v>7180000</v>
      </c>
      <c r="AA18" s="233"/>
      <c r="AB18" s="233"/>
    </row>
    <row r="19" spans="1:28" s="138" customFormat="1" ht="27.75" customHeight="1" x14ac:dyDescent="0.15">
      <c r="A19" s="198">
        <v>13</v>
      </c>
      <c r="B19" s="148" t="s">
        <v>294</v>
      </c>
      <c r="C19" s="148" t="s">
        <v>133</v>
      </c>
      <c r="D19" s="149" t="s">
        <v>22</v>
      </c>
      <c r="E19" s="198">
        <v>1</v>
      </c>
      <c r="F19" s="147" t="s">
        <v>23</v>
      </c>
      <c r="G19" s="239">
        <v>570110</v>
      </c>
      <c r="H19" s="239">
        <f t="shared" si="22"/>
        <v>570110</v>
      </c>
      <c r="I19" s="239">
        <f>2038200/1.19</f>
        <v>1712773.1092436975</v>
      </c>
      <c r="J19" s="249">
        <f t="shared" si="23"/>
        <v>1712773.1092436975</v>
      </c>
      <c r="K19" s="252">
        <f>324875/1.19</f>
        <v>273004.2016806723</v>
      </c>
      <c r="L19" s="239">
        <f t="shared" si="24"/>
        <v>273004.2016806723</v>
      </c>
      <c r="M19" s="252"/>
      <c r="N19" s="239"/>
      <c r="O19" s="239"/>
      <c r="P19" s="249"/>
      <c r="Q19" s="252">
        <f>436700/1.19</f>
        <v>366974.78991596639</v>
      </c>
      <c r="R19" s="239">
        <f t="shared" si="25"/>
        <v>366974.78991596639</v>
      </c>
      <c r="S19" s="252"/>
      <c r="T19" s="239"/>
      <c r="U19" s="239">
        <f t="shared" si="26"/>
        <v>992888.65546218492</v>
      </c>
      <c r="V19" s="239">
        <f t="shared" si="27"/>
        <v>273004.2016806723</v>
      </c>
      <c r="W19" s="239">
        <f t="shared" si="28"/>
        <v>992888.65546218492</v>
      </c>
      <c r="X19" s="240">
        <f t="shared" si="29"/>
        <v>683808.63942275441</v>
      </c>
      <c r="Y19" s="281">
        <f t="shared" si="30"/>
        <v>366974.78991596639</v>
      </c>
      <c r="Z19" s="255">
        <f>Y19</f>
        <v>366974.78991596639</v>
      </c>
      <c r="AA19" s="233"/>
      <c r="AB19" s="233"/>
    </row>
    <row r="20" spans="1:28" s="138" customFormat="1" ht="27.75" customHeight="1" x14ac:dyDescent="0.15">
      <c r="A20" s="198">
        <v>14</v>
      </c>
      <c r="B20" s="148" t="s">
        <v>65</v>
      </c>
      <c r="C20" s="148" t="s">
        <v>66</v>
      </c>
      <c r="D20" s="149" t="s">
        <v>22</v>
      </c>
      <c r="E20" s="198">
        <v>4</v>
      </c>
      <c r="F20" s="147" t="s">
        <v>23</v>
      </c>
      <c r="G20" s="239">
        <v>607794</v>
      </c>
      <c r="H20" s="239">
        <f t="shared" si="22"/>
        <v>2431176</v>
      </c>
      <c r="I20" s="239">
        <f>1274400/1.19</f>
        <v>1070924.3697478992</v>
      </c>
      <c r="J20" s="249">
        <f t="shared" si="23"/>
        <v>4283697.478991597</v>
      </c>
      <c r="K20" s="252">
        <f>706125/1.19</f>
        <v>593382.3529411765</v>
      </c>
      <c r="L20" s="239">
        <f t="shared" si="24"/>
        <v>2373529.411764706</v>
      </c>
      <c r="M20" s="252"/>
      <c r="N20" s="239"/>
      <c r="O20" s="239"/>
      <c r="P20" s="249"/>
      <c r="Q20" s="252">
        <f>749900/1.19</f>
        <v>630168.06722689082</v>
      </c>
      <c r="R20" s="239">
        <f t="shared" si="25"/>
        <v>2520672.2689075633</v>
      </c>
      <c r="S20" s="252"/>
      <c r="T20" s="239"/>
      <c r="U20" s="239">
        <f t="shared" si="26"/>
        <v>3328613.4453781517</v>
      </c>
      <c r="V20" s="239">
        <f t="shared" si="27"/>
        <v>2373529.411764706</v>
      </c>
      <c r="W20" s="239">
        <f t="shared" si="28"/>
        <v>3328613.4453781517</v>
      </c>
      <c r="X20" s="240">
        <f t="shared" si="29"/>
        <v>3188648.9235237045</v>
      </c>
      <c r="Y20" s="281">
        <f t="shared" si="30"/>
        <v>2520672.2689075633</v>
      </c>
      <c r="Z20" s="255">
        <v>1514327.7737895278</v>
      </c>
      <c r="AA20" s="233"/>
      <c r="AB20" s="233"/>
    </row>
    <row r="21" spans="1:28" s="138" customFormat="1" ht="27.75" customHeight="1" x14ac:dyDescent="0.15">
      <c r="A21" s="198">
        <v>15</v>
      </c>
      <c r="B21" s="148" t="s">
        <v>266</v>
      </c>
      <c r="C21" s="148" t="s">
        <v>66</v>
      </c>
      <c r="D21" s="149" t="s">
        <v>22</v>
      </c>
      <c r="E21" s="198">
        <v>3</v>
      </c>
      <c r="F21" s="147" t="s">
        <v>23</v>
      </c>
      <c r="G21" s="239">
        <v>419939</v>
      </c>
      <c r="H21" s="239">
        <f t="shared" si="22"/>
        <v>1259817</v>
      </c>
      <c r="I21" s="239">
        <f>860700/1.19</f>
        <v>723277.31092436973</v>
      </c>
      <c r="J21" s="249">
        <f t="shared" si="23"/>
        <v>2169831.9327731091</v>
      </c>
      <c r="K21" s="252">
        <f>383625/1.19</f>
        <v>322373.94957983197</v>
      </c>
      <c r="L21" s="239">
        <f t="shared" si="24"/>
        <v>967121.84873949597</v>
      </c>
      <c r="M21" s="252">
        <f>389526.666666667/1.19</f>
        <v>327333.3333333336</v>
      </c>
      <c r="N21" s="239">
        <f>+M21*E21</f>
        <v>982000.00000000081</v>
      </c>
      <c r="O21" s="239"/>
      <c r="P21" s="249"/>
      <c r="Q21" s="252">
        <f>398700/1.19</f>
        <v>335042.01680672268</v>
      </c>
      <c r="R21" s="239">
        <f t="shared" si="25"/>
        <v>1005126.0504201681</v>
      </c>
      <c r="S21" s="252"/>
      <c r="T21" s="239"/>
      <c r="U21" s="239">
        <f t="shared" si="26"/>
        <v>1372984.5938375352</v>
      </c>
      <c r="V21" s="239">
        <f t="shared" si="27"/>
        <v>967121.84873949597</v>
      </c>
      <c r="W21" s="239">
        <f t="shared" si="28"/>
        <v>982000.00000000081</v>
      </c>
      <c r="X21" s="240">
        <f t="shared" si="29"/>
        <v>1272544.3477222926</v>
      </c>
      <c r="Y21" s="281">
        <f t="shared" si="30"/>
        <v>1005126.0504201681</v>
      </c>
      <c r="Z21" s="255">
        <f>W21</f>
        <v>982000.00000000081</v>
      </c>
      <c r="AA21" s="233"/>
      <c r="AB21" s="233"/>
    </row>
    <row r="22" spans="1:28" s="138" customFormat="1" ht="27.75" customHeight="1" x14ac:dyDescent="0.15">
      <c r="A22" s="198">
        <v>16</v>
      </c>
      <c r="B22" s="148" t="s">
        <v>308</v>
      </c>
      <c r="C22" s="148" t="s">
        <v>92</v>
      </c>
      <c r="D22" s="149" t="s">
        <v>22</v>
      </c>
      <c r="E22" s="198">
        <v>1</v>
      </c>
      <c r="F22" s="147" t="s">
        <v>23</v>
      </c>
      <c r="G22" s="239">
        <v>1867891</v>
      </c>
      <c r="H22" s="239">
        <f t="shared" si="22"/>
        <v>1867891</v>
      </c>
      <c r="I22" s="239">
        <f>5099700/1.19</f>
        <v>4285462.1848739497</v>
      </c>
      <c r="J22" s="249">
        <f t="shared" si="23"/>
        <v>4285462.1848739497</v>
      </c>
      <c r="K22" s="252">
        <f>212375/1.19</f>
        <v>178466.38655462186</v>
      </c>
      <c r="L22" s="239">
        <f t="shared" si="24"/>
        <v>178466.38655462186</v>
      </c>
      <c r="M22" s="252">
        <f>1721533.33333333/1.19</f>
        <v>1446666.666666664</v>
      </c>
      <c r="N22" s="239">
        <f>+M22*E22</f>
        <v>1446666.666666664</v>
      </c>
      <c r="O22" s="239"/>
      <c r="P22" s="249"/>
      <c r="Q22" s="252">
        <f>1529900/1.19</f>
        <v>1285630.2521008404</v>
      </c>
      <c r="R22" s="239">
        <f t="shared" si="25"/>
        <v>1285630.2521008404</v>
      </c>
      <c r="S22" s="252"/>
      <c r="T22" s="239"/>
      <c r="U22" s="239">
        <f t="shared" si="26"/>
        <v>1970198.4126984121</v>
      </c>
      <c r="V22" s="239">
        <f t="shared" si="27"/>
        <v>178466.38655462186</v>
      </c>
      <c r="W22" s="239">
        <f t="shared" si="28"/>
        <v>1446666.666666664</v>
      </c>
      <c r="X22" s="240">
        <f t="shared" si="29"/>
        <v>1034286.5033257094</v>
      </c>
      <c r="Y22" s="281">
        <f t="shared" si="30"/>
        <v>1285630.2521008404</v>
      </c>
      <c r="Z22" s="255">
        <f>X22</f>
        <v>1034286.5033257094</v>
      </c>
      <c r="AA22" s="233"/>
      <c r="AB22" s="233"/>
    </row>
    <row r="23" spans="1:28" s="138" customFormat="1" ht="27.75" customHeight="1" x14ac:dyDescent="0.15">
      <c r="A23" s="198">
        <v>17</v>
      </c>
      <c r="B23" s="148" t="s">
        <v>68</v>
      </c>
      <c r="C23" s="148" t="s">
        <v>69</v>
      </c>
      <c r="D23" s="149" t="s">
        <v>22</v>
      </c>
      <c r="E23" s="198">
        <v>1</v>
      </c>
      <c r="F23" s="147" t="s">
        <v>23</v>
      </c>
      <c r="G23" s="239">
        <v>771760</v>
      </c>
      <c r="H23" s="239">
        <f t="shared" si="22"/>
        <v>771760</v>
      </c>
      <c r="I23" s="239">
        <f>1109700/1.19</f>
        <v>932521.00840336143</v>
      </c>
      <c r="J23" s="249">
        <f t="shared" si="23"/>
        <v>932521.00840336143</v>
      </c>
      <c r="K23" s="252">
        <f>462375/1.19</f>
        <v>388550.42016806727</v>
      </c>
      <c r="L23" s="239">
        <f t="shared" si="24"/>
        <v>388550.42016806727</v>
      </c>
      <c r="M23" s="252">
        <f>452993.333333333/1.19</f>
        <v>380666.6666666664</v>
      </c>
      <c r="N23" s="239">
        <f>+M23*E23</f>
        <v>380666.6666666664</v>
      </c>
      <c r="O23" s="239"/>
      <c r="P23" s="249"/>
      <c r="Q23" s="252">
        <f>840000/1.19</f>
        <v>705882.3529411765</v>
      </c>
      <c r="R23" s="239">
        <f t="shared" si="25"/>
        <v>705882.3529411765</v>
      </c>
      <c r="S23" s="252"/>
      <c r="T23" s="239"/>
      <c r="U23" s="239">
        <f t="shared" si="26"/>
        <v>567246.03174603172</v>
      </c>
      <c r="V23" s="239">
        <f t="shared" si="27"/>
        <v>380666.6666666664</v>
      </c>
      <c r="W23" s="239">
        <f t="shared" si="28"/>
        <v>388550.42016806727</v>
      </c>
      <c r="X23" s="240">
        <f t="shared" si="29"/>
        <v>516674.41004669887</v>
      </c>
      <c r="Y23" s="281">
        <f t="shared" si="30"/>
        <v>705882.3529411765</v>
      </c>
      <c r="Z23" s="255">
        <f>X23</f>
        <v>516674.41004669887</v>
      </c>
      <c r="AA23" s="233"/>
      <c r="AB23" s="233"/>
    </row>
    <row r="24" spans="1:28" s="138" customFormat="1" ht="27.75" customHeight="1" x14ac:dyDescent="0.15">
      <c r="A24" s="198">
        <v>18</v>
      </c>
      <c r="B24" s="148" t="s">
        <v>265</v>
      </c>
      <c r="C24" s="148" t="s">
        <v>94</v>
      </c>
      <c r="D24" s="149" t="s">
        <v>22</v>
      </c>
      <c r="E24" s="198">
        <v>1</v>
      </c>
      <c r="F24" s="147" t="s">
        <v>23</v>
      </c>
      <c r="G24" s="239">
        <v>814860</v>
      </c>
      <c r="H24" s="239">
        <f t="shared" si="22"/>
        <v>814860</v>
      </c>
      <c r="I24" s="239">
        <f>2588700/1.19</f>
        <v>2175378.1512605045</v>
      </c>
      <c r="J24" s="249">
        <f t="shared" si="23"/>
        <v>2175378.1512605045</v>
      </c>
      <c r="K24" s="252">
        <f>462375/1.19</f>
        <v>388550.42016806727</v>
      </c>
      <c r="L24" s="239">
        <f t="shared" si="24"/>
        <v>388550.42016806727</v>
      </c>
      <c r="M24" s="252">
        <f>1032126.67/1.19</f>
        <v>867333.33613445389</v>
      </c>
      <c r="N24" s="239">
        <f>+M24*E24</f>
        <v>867333.33613445389</v>
      </c>
      <c r="O24" s="239"/>
      <c r="P24" s="249"/>
      <c r="Q24" s="252">
        <f>926200/1.19</f>
        <v>778319.32773109246</v>
      </c>
      <c r="R24" s="239">
        <f t="shared" si="25"/>
        <v>778319.32773109246</v>
      </c>
      <c r="S24" s="252"/>
      <c r="T24" s="239"/>
      <c r="U24" s="239">
        <f t="shared" si="26"/>
        <v>1143753.9691876753</v>
      </c>
      <c r="V24" s="239">
        <f t="shared" si="27"/>
        <v>388550.42016806727</v>
      </c>
      <c r="W24" s="239">
        <f t="shared" si="28"/>
        <v>867333.33613445389</v>
      </c>
      <c r="X24" s="240">
        <f t="shared" si="29"/>
        <v>901687.52542880783</v>
      </c>
      <c r="Y24" s="281">
        <f t="shared" si="30"/>
        <v>778319.32773109246</v>
      </c>
      <c r="Z24" s="255">
        <f>X24</f>
        <v>901687.52542880783</v>
      </c>
      <c r="AA24" s="233"/>
      <c r="AB24" s="233"/>
    </row>
    <row r="25" spans="1:28" s="138" customFormat="1" ht="27.75" customHeight="1" x14ac:dyDescent="0.15">
      <c r="A25" s="198">
        <v>19</v>
      </c>
      <c r="B25" s="148" t="s">
        <v>333</v>
      </c>
      <c r="C25" s="148"/>
      <c r="D25" s="149" t="s">
        <v>48</v>
      </c>
      <c r="E25" s="198">
        <v>1</v>
      </c>
      <c r="F25" s="147" t="s">
        <v>23</v>
      </c>
      <c r="G25" s="239">
        <v>247098</v>
      </c>
      <c r="H25" s="239">
        <f t="shared" si="22"/>
        <v>247098</v>
      </c>
      <c r="I25" s="239">
        <f>323700/1.19</f>
        <v>272016.80672268907</v>
      </c>
      <c r="J25" s="249">
        <f t="shared" si="23"/>
        <v>272016.80672268907</v>
      </c>
      <c r="K25" s="252">
        <f>130270/1.19</f>
        <v>109470.58823529413</v>
      </c>
      <c r="L25" s="239">
        <f t="shared" si="24"/>
        <v>109470.58823529413</v>
      </c>
      <c r="M25" s="252"/>
      <c r="N25" s="239"/>
      <c r="O25" s="239"/>
      <c r="P25" s="249"/>
      <c r="Q25" s="252">
        <f>254000/1.19</f>
        <v>213445.37815126052</v>
      </c>
      <c r="R25" s="239">
        <f t="shared" si="25"/>
        <v>213445.37815126052</v>
      </c>
      <c r="S25" s="252"/>
      <c r="T25" s="239"/>
      <c r="U25" s="239">
        <f t="shared" si="26"/>
        <v>190743.69747899158</v>
      </c>
      <c r="V25" s="239">
        <f t="shared" si="27"/>
        <v>109470.58823529413</v>
      </c>
      <c r="W25" s="239">
        <f t="shared" si="28"/>
        <v>190743.69747899158</v>
      </c>
      <c r="X25" s="240">
        <f t="shared" si="29"/>
        <v>172562.5679045693</v>
      </c>
      <c r="Y25" s="281">
        <f t="shared" si="30"/>
        <v>213445.37815126052</v>
      </c>
      <c r="Z25" s="255">
        <f>X25</f>
        <v>172562.5679045693</v>
      </c>
      <c r="AA25" s="233"/>
      <c r="AB25" s="233"/>
    </row>
    <row r="26" spans="1:28" s="138" customFormat="1" ht="27.75" customHeight="1" x14ac:dyDescent="0.15">
      <c r="A26" s="198">
        <v>20</v>
      </c>
      <c r="B26" s="148" t="s">
        <v>95</v>
      </c>
      <c r="C26" s="148" t="s">
        <v>96</v>
      </c>
      <c r="D26" s="149" t="s">
        <v>22</v>
      </c>
      <c r="E26" s="198">
        <v>1</v>
      </c>
      <c r="F26" s="147" t="s">
        <v>23</v>
      </c>
      <c r="G26" s="239">
        <v>175915</v>
      </c>
      <c r="H26" s="239">
        <f t="shared" si="22"/>
        <v>175915</v>
      </c>
      <c r="I26" s="239">
        <f>473970/1.19</f>
        <v>398294.11764705885</v>
      </c>
      <c r="J26" s="249">
        <f t="shared" si="23"/>
        <v>398294.11764705885</v>
      </c>
      <c r="K26" s="252">
        <f>687375/1.9</f>
        <v>361776.31578947371</v>
      </c>
      <c r="L26" s="239">
        <f t="shared" si="24"/>
        <v>361776.31578947371</v>
      </c>
      <c r="M26" s="252"/>
      <c r="N26" s="239"/>
      <c r="O26" s="239"/>
      <c r="P26" s="249"/>
      <c r="Q26" s="252">
        <f>224000/1.19</f>
        <v>188235.29411764708</v>
      </c>
      <c r="R26" s="239">
        <f t="shared" si="25"/>
        <v>188235.29411764708</v>
      </c>
      <c r="S26" s="252"/>
      <c r="T26" s="239"/>
      <c r="U26" s="239">
        <f t="shared" si="26"/>
        <v>380035.21671826625</v>
      </c>
      <c r="V26" s="239">
        <f t="shared" si="27"/>
        <v>361776.31578947371</v>
      </c>
      <c r="W26" s="239">
        <f t="shared" si="28"/>
        <v>380035.21671826625</v>
      </c>
      <c r="X26" s="240">
        <f t="shared" si="29"/>
        <v>379596.33623491699</v>
      </c>
      <c r="Y26" s="281">
        <f t="shared" si="30"/>
        <v>188235.29411764708</v>
      </c>
      <c r="Z26" s="255">
        <f>X26</f>
        <v>379596.33623491699</v>
      </c>
      <c r="AA26" s="233"/>
      <c r="AB26" s="233"/>
    </row>
    <row r="27" spans="1:28" s="138" customFormat="1" ht="27.75" customHeight="1" x14ac:dyDescent="0.15">
      <c r="A27" s="198">
        <v>21</v>
      </c>
      <c r="B27" s="148" t="s">
        <v>269</v>
      </c>
      <c r="C27" s="178" t="s">
        <v>98</v>
      </c>
      <c r="D27" s="149" t="s">
        <v>107</v>
      </c>
      <c r="E27" s="198">
        <v>6</v>
      </c>
      <c r="F27" s="147" t="s">
        <v>23</v>
      </c>
      <c r="G27" s="239">
        <v>413474</v>
      </c>
      <c r="H27" s="239">
        <f t="shared" si="22"/>
        <v>2480844</v>
      </c>
      <c r="I27" s="239">
        <v>1011300</v>
      </c>
      <c r="J27" s="249">
        <f t="shared" si="23"/>
        <v>6067800</v>
      </c>
      <c r="K27" s="252">
        <f>421375/1.19</f>
        <v>354096.63865546219</v>
      </c>
      <c r="L27" s="239">
        <f t="shared" si="24"/>
        <v>2124579.8319327729</v>
      </c>
      <c r="M27" s="252">
        <f>95517.3333333333/1.19</f>
        <v>80266.666666666642</v>
      </c>
      <c r="N27" s="239">
        <f>+M27*E27</f>
        <v>481599.99999999988</v>
      </c>
      <c r="O27" s="239"/>
      <c r="P27" s="249"/>
      <c r="Q27" s="252">
        <f>377600/1.19</f>
        <v>317310.92436974793</v>
      </c>
      <c r="R27" s="239">
        <f t="shared" si="25"/>
        <v>1903865.5462184874</v>
      </c>
      <c r="S27" s="252"/>
      <c r="T27" s="239"/>
      <c r="U27" s="239">
        <f t="shared" si="26"/>
        <v>2891326.6106442572</v>
      </c>
      <c r="V27" s="239">
        <f t="shared" si="27"/>
        <v>481599.99999999988</v>
      </c>
      <c r="W27" s="239">
        <f t="shared" si="28"/>
        <v>2124579.8319327729</v>
      </c>
      <c r="X27" s="240">
        <f t="shared" si="29"/>
        <v>1837935.4879710309</v>
      </c>
      <c r="Y27" s="281">
        <f t="shared" si="30"/>
        <v>1903865.5462184874</v>
      </c>
      <c r="Z27" s="255">
        <f>X27</f>
        <v>1837935.4879710309</v>
      </c>
      <c r="AA27" s="233"/>
      <c r="AB27" s="233"/>
    </row>
    <row r="28" spans="1:28" s="138" customFormat="1" ht="27.75" customHeight="1" x14ac:dyDescent="0.15">
      <c r="A28" s="198">
        <v>22</v>
      </c>
      <c r="B28" s="148" t="s">
        <v>70</v>
      </c>
      <c r="C28" s="148" t="s">
        <v>71</v>
      </c>
      <c r="D28" s="149" t="s">
        <v>107</v>
      </c>
      <c r="E28" s="198">
        <v>3</v>
      </c>
      <c r="F28" s="147" t="s">
        <v>23</v>
      </c>
      <c r="G28" s="239">
        <v>34991</v>
      </c>
      <c r="H28" s="239">
        <f t="shared" si="22"/>
        <v>104973</v>
      </c>
      <c r="I28" s="239"/>
      <c r="J28" s="249"/>
      <c r="K28" s="252">
        <f>112375/1.19</f>
        <v>94432.773109243702</v>
      </c>
      <c r="L28" s="239">
        <f t="shared" si="24"/>
        <v>283298.31932773109</v>
      </c>
      <c r="M28" s="252"/>
      <c r="N28" s="239"/>
      <c r="O28" s="239"/>
      <c r="P28" s="249"/>
      <c r="Q28" s="252"/>
      <c r="R28" s="239"/>
      <c r="S28" s="252"/>
      <c r="T28" s="239"/>
      <c r="U28" s="239">
        <f t="shared" si="26"/>
        <v>283298.31932773109</v>
      </c>
      <c r="V28" s="239">
        <f t="shared" si="27"/>
        <v>283298.31932773109</v>
      </c>
      <c r="W28" s="239">
        <f t="shared" si="28"/>
        <v>283298.31932773109</v>
      </c>
      <c r="X28" s="240">
        <f t="shared" si="29"/>
        <v>283298.31932773109</v>
      </c>
      <c r="Y28" s="281">
        <v>0</v>
      </c>
      <c r="Z28" s="255">
        <f t="shared" ref="Z22:Z28" si="31">U28</f>
        <v>283298.31932773109</v>
      </c>
      <c r="AA28" s="233"/>
      <c r="AB28" s="233"/>
    </row>
    <row r="29" spans="1:28" s="138" customFormat="1" ht="27.75" customHeight="1" x14ac:dyDescent="0.15">
      <c r="A29" s="198">
        <v>23</v>
      </c>
      <c r="B29" s="148" t="s">
        <v>271</v>
      </c>
      <c r="C29" s="148" t="s">
        <v>100</v>
      </c>
      <c r="D29" s="149" t="s">
        <v>107</v>
      </c>
      <c r="E29" s="198">
        <v>4</v>
      </c>
      <c r="F29" s="147" t="s">
        <v>23</v>
      </c>
      <c r="G29" s="249">
        <v>64617</v>
      </c>
      <c r="H29" s="239">
        <f t="shared" si="22"/>
        <v>258468</v>
      </c>
      <c r="I29" s="239">
        <f>130350/1.19</f>
        <v>109537.81512605042</v>
      </c>
      <c r="J29" s="249">
        <f t="shared" ref="J29:J46" si="32">+I29*E29</f>
        <v>438151.26050420169</v>
      </c>
      <c r="K29" s="252">
        <f>56250/1.19</f>
        <v>47268.907563025212</v>
      </c>
      <c r="L29" s="239">
        <f t="shared" si="24"/>
        <v>189075.63025210085</v>
      </c>
      <c r="M29" s="252">
        <f>53312/1.19</f>
        <v>44800</v>
      </c>
      <c r="N29" s="239">
        <f>+M29*E29</f>
        <v>179200</v>
      </c>
      <c r="O29" s="239"/>
      <c r="P29" s="249"/>
      <c r="Q29" s="252">
        <f>55900/1.19</f>
        <v>46974.789915966387</v>
      </c>
      <c r="R29" s="239">
        <f t="shared" ref="R29:R46" si="33">Q29*E29</f>
        <v>187899.15966386555</v>
      </c>
      <c r="S29" s="252"/>
      <c r="T29" s="239"/>
      <c r="U29" s="239">
        <f t="shared" si="26"/>
        <v>268808.96358543419</v>
      </c>
      <c r="V29" s="239">
        <f t="shared" si="27"/>
        <v>179200</v>
      </c>
      <c r="W29" s="239">
        <f t="shared" si="28"/>
        <v>189075.63025210085</v>
      </c>
      <c r="X29" s="240">
        <f t="shared" si="29"/>
        <v>245772.07859142745</v>
      </c>
      <c r="Y29" s="281">
        <f t="shared" si="30"/>
        <v>187899.15966386555</v>
      </c>
      <c r="Z29" s="255">
        <f>V29</f>
        <v>179200</v>
      </c>
      <c r="AA29" s="233"/>
      <c r="AB29" s="233"/>
    </row>
    <row r="30" spans="1:28" s="138" customFormat="1" ht="27.75" customHeight="1" x14ac:dyDescent="0.15">
      <c r="A30" s="198">
        <v>24</v>
      </c>
      <c r="B30" s="148" t="s">
        <v>267</v>
      </c>
      <c r="C30" s="178" t="s">
        <v>100</v>
      </c>
      <c r="D30" s="149" t="s">
        <v>107</v>
      </c>
      <c r="E30" s="198">
        <v>6</v>
      </c>
      <c r="F30" s="147" t="s">
        <v>23</v>
      </c>
      <c r="G30" s="239">
        <v>155269</v>
      </c>
      <c r="H30" s="239">
        <f t="shared" si="22"/>
        <v>931614</v>
      </c>
      <c r="I30" s="239">
        <v>398700</v>
      </c>
      <c r="J30" s="249">
        <f t="shared" si="32"/>
        <v>2392200</v>
      </c>
      <c r="K30" s="252">
        <f>112375/1.19</f>
        <v>94432.773109243702</v>
      </c>
      <c r="L30" s="239">
        <f t="shared" si="24"/>
        <v>566596.63865546219</v>
      </c>
      <c r="M30" s="252">
        <f>146766.666666667/1.19</f>
        <v>123333.33333333362</v>
      </c>
      <c r="N30" s="239">
        <f>+M30*E30</f>
        <v>740000.00000000175</v>
      </c>
      <c r="O30" s="239"/>
      <c r="P30" s="249"/>
      <c r="Q30" s="252">
        <f>100700/1.19</f>
        <v>84621.848739495807</v>
      </c>
      <c r="R30" s="239">
        <f t="shared" si="33"/>
        <v>507731.09243697487</v>
      </c>
      <c r="S30" s="252"/>
      <c r="T30" s="239"/>
      <c r="U30" s="239">
        <f t="shared" si="26"/>
        <v>1232932.2128851546</v>
      </c>
      <c r="V30" s="239">
        <f t="shared" si="27"/>
        <v>566596.63865546219</v>
      </c>
      <c r="W30" s="239">
        <f t="shared" si="28"/>
        <v>740000.00000000175</v>
      </c>
      <c r="X30" s="240">
        <f t="shared" si="29"/>
        <v>1001000.7429973044</v>
      </c>
      <c r="Y30" s="281">
        <f t="shared" si="30"/>
        <v>507731.09243697487</v>
      </c>
      <c r="Z30" s="255">
        <f>X30</f>
        <v>1001000.7429973044</v>
      </c>
      <c r="AA30" s="233"/>
      <c r="AB30" s="233"/>
    </row>
    <row r="31" spans="1:28" s="138" customFormat="1" ht="27.75" customHeight="1" x14ac:dyDescent="0.15">
      <c r="A31" s="198">
        <v>25</v>
      </c>
      <c r="B31" s="148" t="s">
        <v>103</v>
      </c>
      <c r="C31" s="148" t="s">
        <v>104</v>
      </c>
      <c r="D31" s="149" t="s">
        <v>107</v>
      </c>
      <c r="E31" s="198">
        <v>2</v>
      </c>
      <c r="F31" s="147" t="s">
        <v>23</v>
      </c>
      <c r="G31" s="239">
        <v>180525</v>
      </c>
      <c r="H31" s="239">
        <f t="shared" si="22"/>
        <v>361050</v>
      </c>
      <c r="I31" s="239">
        <f>375000/1.19</f>
        <v>315126.05042016809</v>
      </c>
      <c r="J31" s="249">
        <f t="shared" si="32"/>
        <v>630252.10084033618</v>
      </c>
      <c r="K31" s="252">
        <f>121500/1.19</f>
        <v>102100.84033613445</v>
      </c>
      <c r="L31" s="239">
        <f t="shared" si="24"/>
        <v>204201.68067226891</v>
      </c>
      <c r="M31" s="252"/>
      <c r="N31" s="239"/>
      <c r="O31" s="239"/>
      <c r="P31" s="249"/>
      <c r="Q31" s="252">
        <f>156800/1.19</f>
        <v>131764.70588235295</v>
      </c>
      <c r="R31" s="239">
        <f t="shared" si="33"/>
        <v>263529.4117647059</v>
      </c>
      <c r="S31" s="252"/>
      <c r="T31" s="239"/>
      <c r="U31" s="239">
        <f t="shared" si="26"/>
        <v>417226.89075630251</v>
      </c>
      <c r="V31" s="239">
        <f t="shared" si="27"/>
        <v>204201.68067226891</v>
      </c>
      <c r="W31" s="239">
        <f t="shared" si="28"/>
        <v>417226.89075630251</v>
      </c>
      <c r="X31" s="240">
        <f t="shared" si="29"/>
        <v>358745.78497708507</v>
      </c>
      <c r="Y31" s="281">
        <f t="shared" si="30"/>
        <v>263529.4117647059</v>
      </c>
      <c r="Z31" s="255">
        <f>V31</f>
        <v>204201.68067226891</v>
      </c>
      <c r="AA31" s="233"/>
      <c r="AB31" s="233"/>
    </row>
    <row r="32" spans="1:28" s="138" customFormat="1" ht="27.75" customHeight="1" x14ac:dyDescent="0.15">
      <c r="A32" s="198">
        <v>26</v>
      </c>
      <c r="B32" s="148" t="s">
        <v>311</v>
      </c>
      <c r="C32" s="148" t="s">
        <v>106</v>
      </c>
      <c r="D32" s="149" t="s">
        <v>107</v>
      </c>
      <c r="E32" s="198">
        <v>2</v>
      </c>
      <c r="F32" s="147" t="s">
        <v>23</v>
      </c>
      <c r="G32" s="239">
        <v>300005</v>
      </c>
      <c r="H32" s="239">
        <f t="shared" si="22"/>
        <v>600010</v>
      </c>
      <c r="I32" s="239">
        <f>161700/1.19</f>
        <v>135882.35294117648</v>
      </c>
      <c r="J32" s="249">
        <f t="shared" si="32"/>
        <v>271764.70588235295</v>
      </c>
      <c r="K32" s="252">
        <f>67375/1.19</f>
        <v>56617.647058823532</v>
      </c>
      <c r="L32" s="239">
        <f t="shared" si="24"/>
        <v>113235.29411764706</v>
      </c>
      <c r="M32" s="252"/>
      <c r="N32" s="239"/>
      <c r="O32" s="239"/>
      <c r="P32" s="249"/>
      <c r="Q32" s="252">
        <f>243800/1.19</f>
        <v>204873.94957983194</v>
      </c>
      <c r="R32" s="239">
        <f t="shared" si="33"/>
        <v>409747.89915966388</v>
      </c>
      <c r="S32" s="252"/>
      <c r="T32" s="239"/>
      <c r="U32" s="239">
        <f t="shared" si="26"/>
        <v>192500</v>
      </c>
      <c r="V32" s="239">
        <f t="shared" si="27"/>
        <v>113235.29411764706</v>
      </c>
      <c r="W32" s="239">
        <f t="shared" si="28"/>
        <v>192500</v>
      </c>
      <c r="X32" s="240">
        <f t="shared" si="29"/>
        <v>175423.36332821831</v>
      </c>
      <c r="Y32" s="281">
        <f t="shared" si="30"/>
        <v>409747.89915966388</v>
      </c>
      <c r="Z32" s="255">
        <f>V32</f>
        <v>113235.29411764706</v>
      </c>
      <c r="AA32" s="233"/>
      <c r="AB32" s="233"/>
    </row>
    <row r="33" spans="1:28" s="138" customFormat="1" ht="27.75" customHeight="1" x14ac:dyDescent="0.15">
      <c r="A33" s="198">
        <v>27</v>
      </c>
      <c r="B33" s="148" t="s">
        <v>108</v>
      </c>
      <c r="C33" s="148" t="s">
        <v>109</v>
      </c>
      <c r="D33" s="149" t="s">
        <v>107</v>
      </c>
      <c r="E33" s="198">
        <v>3</v>
      </c>
      <c r="F33" s="147" t="s">
        <v>23</v>
      </c>
      <c r="G33" s="239">
        <v>42656</v>
      </c>
      <c r="H33" s="239">
        <f t="shared" si="22"/>
        <v>127968</v>
      </c>
      <c r="I33" s="239">
        <f>149700/1.19</f>
        <v>125798.31932773109</v>
      </c>
      <c r="J33" s="249">
        <f t="shared" si="32"/>
        <v>377394.95798319328</v>
      </c>
      <c r="K33" s="252">
        <f>62375/1.19</f>
        <v>52415.966386554624</v>
      </c>
      <c r="L33" s="239">
        <f t="shared" si="24"/>
        <v>157247.89915966388</v>
      </c>
      <c r="M33" s="252">
        <f>50138.6666666667/1.19</f>
        <v>42133.333333333365</v>
      </c>
      <c r="N33" s="239">
        <f>+M33*E33</f>
        <v>126400.00000000009</v>
      </c>
      <c r="O33" s="239"/>
      <c r="P33" s="249"/>
      <c r="Q33" s="252">
        <f>55900/1.19</f>
        <v>46974.789915966387</v>
      </c>
      <c r="R33" s="239">
        <f t="shared" si="33"/>
        <v>140924.36974789915</v>
      </c>
      <c r="S33" s="252"/>
      <c r="T33" s="239"/>
      <c r="U33" s="239">
        <f t="shared" si="26"/>
        <v>220347.61904761908</v>
      </c>
      <c r="V33" s="239">
        <f t="shared" si="27"/>
        <v>126400.00000000009</v>
      </c>
      <c r="W33" s="239">
        <f t="shared" si="28"/>
        <v>157247.89915966388</v>
      </c>
      <c r="X33" s="240">
        <f t="shared" si="29"/>
        <v>195753.41167078272</v>
      </c>
      <c r="Y33" s="281">
        <f t="shared" si="30"/>
        <v>140924.36974789915</v>
      </c>
      <c r="Z33" s="255">
        <f>V33</f>
        <v>126400.00000000009</v>
      </c>
      <c r="AA33" s="233"/>
      <c r="AB33" s="233"/>
    </row>
    <row r="34" spans="1:28" s="138" customFormat="1" ht="27.75" customHeight="1" x14ac:dyDescent="0.15">
      <c r="A34" s="198">
        <v>28</v>
      </c>
      <c r="B34" s="148" t="s">
        <v>110</v>
      </c>
      <c r="C34" s="148" t="s">
        <v>111</v>
      </c>
      <c r="D34" s="149" t="s">
        <v>81</v>
      </c>
      <c r="E34" s="198">
        <v>1</v>
      </c>
      <c r="F34" s="147" t="s">
        <v>23</v>
      </c>
      <c r="G34" s="239">
        <v>413474</v>
      </c>
      <c r="H34" s="239">
        <f t="shared" si="22"/>
        <v>413474</v>
      </c>
      <c r="I34" s="239">
        <f>464700/1.19</f>
        <v>390504.2016806723</v>
      </c>
      <c r="J34" s="249">
        <f t="shared" si="32"/>
        <v>390504.2016806723</v>
      </c>
      <c r="K34" s="252">
        <f>216875/1.19</f>
        <v>182247.89915966388</v>
      </c>
      <c r="L34" s="239">
        <f t="shared" si="24"/>
        <v>182247.89915966388</v>
      </c>
      <c r="M34" s="252">
        <f>120745.333333333/1.19</f>
        <v>101466.66666666638</v>
      </c>
      <c r="N34" s="239">
        <f>+M34*E34</f>
        <v>101466.66666666638</v>
      </c>
      <c r="O34" s="239"/>
      <c r="P34" s="249"/>
      <c r="Q34" s="252">
        <f>377600/1.19</f>
        <v>317310.92436974793</v>
      </c>
      <c r="R34" s="239">
        <f t="shared" si="33"/>
        <v>317310.92436974793</v>
      </c>
      <c r="S34" s="252"/>
      <c r="T34" s="239"/>
      <c r="U34" s="239">
        <f t="shared" si="26"/>
        <v>224739.58916900086</v>
      </c>
      <c r="V34" s="239">
        <f t="shared" si="27"/>
        <v>101466.66666666638</v>
      </c>
      <c r="W34" s="239">
        <f t="shared" si="28"/>
        <v>182247.89915966388</v>
      </c>
      <c r="X34" s="240">
        <f t="shared" si="29"/>
        <v>193287.5487380905</v>
      </c>
      <c r="Y34" s="281">
        <f t="shared" si="30"/>
        <v>317310.92436974793</v>
      </c>
      <c r="Z34" s="255">
        <f>X34</f>
        <v>193287.5487380905</v>
      </c>
      <c r="AA34" s="233"/>
      <c r="AB34" s="233"/>
    </row>
    <row r="35" spans="1:28" s="138" customFormat="1" ht="27.75" customHeight="1" x14ac:dyDescent="0.15">
      <c r="A35" s="198">
        <v>29</v>
      </c>
      <c r="B35" s="148" t="s">
        <v>112</v>
      </c>
      <c r="C35" s="148" t="s">
        <v>113</v>
      </c>
      <c r="D35" s="149" t="s">
        <v>81</v>
      </c>
      <c r="E35" s="198">
        <v>1</v>
      </c>
      <c r="F35" s="147" t="s">
        <v>23</v>
      </c>
      <c r="G35" s="239">
        <v>179369</v>
      </c>
      <c r="H35" s="239">
        <f t="shared" si="22"/>
        <v>179369</v>
      </c>
      <c r="I35" s="239">
        <f>717000/1.19</f>
        <v>602521.00840336143</v>
      </c>
      <c r="J35" s="249">
        <f t="shared" si="32"/>
        <v>602521.00840336143</v>
      </c>
      <c r="K35" s="252">
        <v>166125</v>
      </c>
      <c r="L35" s="239">
        <f t="shared" si="24"/>
        <v>166125</v>
      </c>
      <c r="M35" s="252">
        <v>140420</v>
      </c>
      <c r="N35" s="239">
        <f>+M35*E35</f>
        <v>140420</v>
      </c>
      <c r="O35" s="239"/>
      <c r="P35" s="249"/>
      <c r="Q35" s="252">
        <f>148900/1.19</f>
        <v>125126.05042016807</v>
      </c>
      <c r="R35" s="239">
        <f t="shared" si="33"/>
        <v>125126.05042016807</v>
      </c>
      <c r="S35" s="252"/>
      <c r="T35" s="239"/>
      <c r="U35" s="239">
        <f t="shared" si="26"/>
        <v>303022.00280112046</v>
      </c>
      <c r="V35" s="239">
        <f t="shared" si="27"/>
        <v>140420</v>
      </c>
      <c r="W35" s="239">
        <f t="shared" si="28"/>
        <v>166125</v>
      </c>
      <c r="X35" s="240">
        <f t="shared" si="29"/>
        <v>241330.41088045202</v>
      </c>
      <c r="Y35" s="281">
        <f t="shared" si="30"/>
        <v>125126.05042016807</v>
      </c>
      <c r="Z35" s="255">
        <f>Y35</f>
        <v>125126.05042016807</v>
      </c>
      <c r="AA35" s="233"/>
      <c r="AB35" s="233"/>
    </row>
    <row r="36" spans="1:28" s="138" customFormat="1" ht="27.75" customHeight="1" x14ac:dyDescent="0.15">
      <c r="A36" s="198">
        <v>30</v>
      </c>
      <c r="B36" s="148" t="s">
        <v>114</v>
      </c>
      <c r="C36" s="148" t="s">
        <v>115</v>
      </c>
      <c r="D36" s="149" t="s">
        <v>81</v>
      </c>
      <c r="E36" s="198">
        <v>2</v>
      </c>
      <c r="F36" s="147" t="s">
        <v>23</v>
      </c>
      <c r="G36" s="239">
        <v>283347</v>
      </c>
      <c r="H36" s="239">
        <f t="shared" si="22"/>
        <v>566694</v>
      </c>
      <c r="I36" s="239">
        <f>82500/1.19</f>
        <v>69327.731092436981</v>
      </c>
      <c r="J36" s="249">
        <f t="shared" si="32"/>
        <v>138655.46218487396</v>
      </c>
      <c r="K36" s="252">
        <f>254875/1.19</f>
        <v>214180.67226890757</v>
      </c>
      <c r="L36" s="239">
        <f t="shared" si="24"/>
        <v>428361.34453781514</v>
      </c>
      <c r="M36" s="252"/>
      <c r="N36" s="239"/>
      <c r="O36" s="239"/>
      <c r="P36" s="249"/>
      <c r="Q36" s="252">
        <f>105910/1.19</f>
        <v>89000</v>
      </c>
      <c r="R36" s="239">
        <f t="shared" si="33"/>
        <v>178000</v>
      </c>
      <c r="S36" s="252"/>
      <c r="T36" s="239"/>
      <c r="U36" s="239">
        <f t="shared" si="26"/>
        <v>283508.40336134454</v>
      </c>
      <c r="V36" s="239">
        <f t="shared" si="27"/>
        <v>138655.46218487396</v>
      </c>
      <c r="W36" s="239">
        <f t="shared" si="28"/>
        <v>283508.40336134459</v>
      </c>
      <c r="X36" s="240">
        <f t="shared" si="29"/>
        <v>243710.15614665055</v>
      </c>
      <c r="Y36" s="281">
        <f t="shared" si="30"/>
        <v>178000</v>
      </c>
      <c r="Z36" s="255">
        <f>Y36</f>
        <v>178000</v>
      </c>
      <c r="AA36" s="233"/>
      <c r="AB36" s="233"/>
    </row>
    <row r="37" spans="1:28" s="138" customFormat="1" ht="27.75" customHeight="1" x14ac:dyDescent="0.15">
      <c r="A37" s="198">
        <v>31</v>
      </c>
      <c r="B37" s="148" t="s">
        <v>274</v>
      </c>
      <c r="C37" s="148" t="s">
        <v>117</v>
      </c>
      <c r="D37" s="149" t="s">
        <v>81</v>
      </c>
      <c r="E37" s="198">
        <v>8</v>
      </c>
      <c r="F37" s="147" t="s">
        <v>23</v>
      </c>
      <c r="G37" s="239">
        <v>1564412</v>
      </c>
      <c r="H37" s="239">
        <f t="shared" si="22"/>
        <v>12515296</v>
      </c>
      <c r="I37" s="239">
        <f>1439700/1.19</f>
        <v>1209831.9327731093</v>
      </c>
      <c r="J37" s="249">
        <f t="shared" si="32"/>
        <v>9678655.4621848743</v>
      </c>
      <c r="K37" s="252">
        <f>999875/1.19</f>
        <v>840231.09243697487</v>
      </c>
      <c r="L37" s="239">
        <f t="shared" si="24"/>
        <v>6721848.7394957989</v>
      </c>
      <c r="M37" s="252">
        <f>769850.666666667/1.19</f>
        <v>646933.3333333336</v>
      </c>
      <c r="N37" s="239">
        <f>+M37*E37</f>
        <v>5175466.6666666688</v>
      </c>
      <c r="O37" s="239"/>
      <c r="P37" s="249"/>
      <c r="Q37" s="252">
        <f>1495100/1.19</f>
        <v>1256386.5546218487</v>
      </c>
      <c r="R37" s="239">
        <f t="shared" si="33"/>
        <v>10051092.43697479</v>
      </c>
      <c r="S37" s="252"/>
      <c r="T37" s="239"/>
      <c r="U37" s="239">
        <f t="shared" si="26"/>
        <v>7191990.2894491144</v>
      </c>
      <c r="V37" s="239">
        <f t="shared" si="27"/>
        <v>5175466.6666666688</v>
      </c>
      <c r="W37" s="239">
        <f t="shared" si="28"/>
        <v>6721848.7394957989</v>
      </c>
      <c r="X37" s="240">
        <f t="shared" si="29"/>
        <v>6956932.0333284158</v>
      </c>
      <c r="Y37" s="281">
        <f t="shared" si="30"/>
        <v>10051092.43697479</v>
      </c>
      <c r="Z37" s="255">
        <f>Y37</f>
        <v>10051092.43697479</v>
      </c>
      <c r="AA37" s="233"/>
      <c r="AB37" s="233"/>
    </row>
    <row r="38" spans="1:28" s="138" customFormat="1" ht="27.75" customHeight="1" x14ac:dyDescent="0.15">
      <c r="A38" s="198">
        <v>32</v>
      </c>
      <c r="B38" s="148" t="s">
        <v>118</v>
      </c>
      <c r="C38" s="148" t="s">
        <v>119</v>
      </c>
      <c r="D38" s="149" t="s">
        <v>22</v>
      </c>
      <c r="E38" s="198">
        <v>4</v>
      </c>
      <c r="F38" s="147" t="s">
        <v>23</v>
      </c>
      <c r="G38" s="239">
        <v>241667</v>
      </c>
      <c r="H38" s="239">
        <f t="shared" si="22"/>
        <v>966668</v>
      </c>
      <c r="I38" s="239">
        <f>599700/1.19</f>
        <v>503949.57983193279</v>
      </c>
      <c r="J38" s="249">
        <f t="shared" si="32"/>
        <v>2015798.3193277312</v>
      </c>
      <c r="K38" s="252">
        <f>432375/1.19</f>
        <v>363340.33613445377</v>
      </c>
      <c r="L38" s="239">
        <f t="shared" si="24"/>
        <v>1453361.3445378151</v>
      </c>
      <c r="M38" s="252">
        <f>135660/1.19</f>
        <v>114000</v>
      </c>
      <c r="N38" s="239">
        <f>+M38*E38</f>
        <v>456000</v>
      </c>
      <c r="O38" s="239"/>
      <c r="P38" s="249"/>
      <c r="Q38" s="252">
        <f>156700/1.19</f>
        <v>131680.67226890757</v>
      </c>
      <c r="R38" s="239">
        <f t="shared" si="33"/>
        <v>526722.68907563027</v>
      </c>
      <c r="S38" s="252"/>
      <c r="T38" s="239"/>
      <c r="U38" s="239">
        <f t="shared" si="26"/>
        <v>1308386.5546218487</v>
      </c>
      <c r="V38" s="239">
        <f t="shared" si="27"/>
        <v>456000</v>
      </c>
      <c r="W38" s="239">
        <f t="shared" si="28"/>
        <v>1453361.3445378151</v>
      </c>
      <c r="X38" s="240">
        <f t="shared" si="29"/>
        <v>1101357.9950402</v>
      </c>
      <c r="Y38" s="281">
        <f t="shared" si="30"/>
        <v>526722.68907563027</v>
      </c>
      <c r="Z38" s="255">
        <f>Y38</f>
        <v>526722.68907563027</v>
      </c>
      <c r="AA38" s="233"/>
      <c r="AB38" s="233"/>
    </row>
    <row r="39" spans="1:28" s="138" customFormat="1" ht="27.75" customHeight="1" x14ac:dyDescent="0.15">
      <c r="A39" s="198">
        <v>33</v>
      </c>
      <c r="B39" s="148" t="s">
        <v>46</v>
      </c>
      <c r="C39" s="148" t="s">
        <v>47</v>
      </c>
      <c r="D39" s="149" t="s">
        <v>48</v>
      </c>
      <c r="E39" s="198">
        <v>1</v>
      </c>
      <c r="F39" s="147" t="s">
        <v>23</v>
      </c>
      <c r="G39" s="239">
        <v>342248</v>
      </c>
      <c r="H39" s="239">
        <f t="shared" si="22"/>
        <v>342248</v>
      </c>
      <c r="I39" s="239">
        <f>284700/1.19</f>
        <v>239243.69747899161</v>
      </c>
      <c r="J39" s="249">
        <f t="shared" si="32"/>
        <v>239243.69747899161</v>
      </c>
      <c r="K39" s="252">
        <f>303625/1.19</f>
        <v>255147.05882352943</v>
      </c>
      <c r="L39" s="239">
        <f t="shared" si="24"/>
        <v>255147.05882352943</v>
      </c>
      <c r="M39" s="252"/>
      <c r="N39" s="239"/>
      <c r="O39" s="239"/>
      <c r="P39" s="249"/>
      <c r="Q39" s="252">
        <f>537600/1.19</f>
        <v>451764.70588235295</v>
      </c>
      <c r="R39" s="239">
        <f t="shared" si="33"/>
        <v>451764.70588235295</v>
      </c>
      <c r="S39" s="252"/>
      <c r="T39" s="239"/>
      <c r="U39" s="239">
        <f t="shared" si="26"/>
        <v>247195.37815126052</v>
      </c>
      <c r="V39" s="239">
        <f t="shared" si="27"/>
        <v>239243.69747899161</v>
      </c>
      <c r="W39" s="239">
        <f t="shared" si="28"/>
        <v>247195.37815126052</v>
      </c>
      <c r="X39" s="240">
        <f t="shared" si="29"/>
        <v>247067.45183012463</v>
      </c>
      <c r="Y39" s="281">
        <f t="shared" si="30"/>
        <v>451764.70588235295</v>
      </c>
      <c r="Z39" s="255">
        <f>U39</f>
        <v>247195.37815126052</v>
      </c>
      <c r="AA39" s="233"/>
      <c r="AB39" s="233"/>
    </row>
    <row r="40" spans="1:28" s="138" customFormat="1" ht="27.75" customHeight="1" x14ac:dyDescent="0.15">
      <c r="A40" s="198">
        <v>34</v>
      </c>
      <c r="B40" s="148" t="s">
        <v>289</v>
      </c>
      <c r="C40" s="279" t="s">
        <v>121</v>
      </c>
      <c r="D40" s="149" t="s">
        <v>22</v>
      </c>
      <c r="E40" s="198">
        <v>2</v>
      </c>
      <c r="F40" s="147" t="s">
        <v>23</v>
      </c>
      <c r="G40" s="239">
        <v>220020</v>
      </c>
      <c r="H40" s="239">
        <f t="shared" si="22"/>
        <v>440040</v>
      </c>
      <c r="I40" s="239">
        <f>99450/1.19</f>
        <v>83571.42857142858</v>
      </c>
      <c r="J40" s="249">
        <f t="shared" si="32"/>
        <v>167142.85714285716</v>
      </c>
      <c r="K40" s="252">
        <f>378291/1.19</f>
        <v>317891.59663865546</v>
      </c>
      <c r="L40" s="239">
        <f t="shared" si="24"/>
        <v>635783.19327731093</v>
      </c>
      <c r="M40" s="252">
        <f>90043.3333333333/1.19</f>
        <v>75666.666666666642</v>
      </c>
      <c r="N40" s="239">
        <f>+M40*E40</f>
        <v>151333.33333333328</v>
      </c>
      <c r="O40" s="239"/>
      <c r="P40" s="249"/>
      <c r="Q40" s="252">
        <f>385300/1.19</f>
        <v>323781.51260504202</v>
      </c>
      <c r="R40" s="239">
        <f t="shared" si="33"/>
        <v>647563.02521008404</v>
      </c>
      <c r="S40" s="252"/>
      <c r="T40" s="239"/>
      <c r="U40" s="239">
        <f t="shared" si="26"/>
        <v>318086.46125116711</v>
      </c>
      <c r="V40" s="239">
        <f t="shared" si="27"/>
        <v>151333.33333333328</v>
      </c>
      <c r="W40" s="239">
        <f t="shared" si="28"/>
        <v>167142.85714285716</v>
      </c>
      <c r="X40" s="240">
        <f t="shared" si="29"/>
        <v>252412.28462870931</v>
      </c>
      <c r="Y40" s="281">
        <f t="shared" si="30"/>
        <v>647563.02521008404</v>
      </c>
      <c r="Z40" s="255">
        <f>X40</f>
        <v>252412.28462870931</v>
      </c>
      <c r="AA40" s="233"/>
      <c r="AB40" s="233"/>
    </row>
    <row r="41" spans="1:28" s="138" customFormat="1" ht="27.75" customHeight="1" x14ac:dyDescent="0.15">
      <c r="A41" s="198">
        <v>35</v>
      </c>
      <c r="B41" s="148" t="s">
        <v>122</v>
      </c>
      <c r="C41" s="148" t="s">
        <v>123</v>
      </c>
      <c r="D41" s="149" t="s">
        <v>22</v>
      </c>
      <c r="E41" s="198">
        <v>3</v>
      </c>
      <c r="F41" s="147" t="s">
        <v>23</v>
      </c>
      <c r="G41" s="239">
        <v>291660</v>
      </c>
      <c r="H41" s="239">
        <f t="shared" si="22"/>
        <v>874980</v>
      </c>
      <c r="I41" s="239">
        <f>520875/1.19</f>
        <v>437710.08403361344</v>
      </c>
      <c r="J41" s="249">
        <f t="shared" si="32"/>
        <v>1313130.2521008402</v>
      </c>
      <c r="K41" s="252">
        <f>599875/1.19</f>
        <v>504096.63865546219</v>
      </c>
      <c r="L41" s="239">
        <f t="shared" si="24"/>
        <v>1512289.9159663864</v>
      </c>
      <c r="M41" s="252">
        <f>205632/1.19</f>
        <v>172800</v>
      </c>
      <c r="N41" s="239">
        <f>+M41*E41</f>
        <v>518400</v>
      </c>
      <c r="O41" s="239"/>
      <c r="P41" s="249"/>
      <c r="Q41" s="252">
        <v>291000</v>
      </c>
      <c r="R41" s="239">
        <f t="shared" si="33"/>
        <v>873000</v>
      </c>
      <c r="S41" s="252"/>
      <c r="T41" s="239"/>
      <c r="U41" s="239">
        <f t="shared" si="26"/>
        <v>1114606.7226890756</v>
      </c>
      <c r="V41" s="239">
        <f t="shared" si="27"/>
        <v>518400</v>
      </c>
      <c r="W41" s="239">
        <f t="shared" si="28"/>
        <v>1313130.2521008402</v>
      </c>
      <c r="X41" s="240">
        <f t="shared" si="29"/>
        <v>1009723.8594988256</v>
      </c>
      <c r="Y41" s="281">
        <f t="shared" si="30"/>
        <v>873000</v>
      </c>
      <c r="Z41" s="255">
        <f>Y41</f>
        <v>873000</v>
      </c>
      <c r="AA41" s="233"/>
      <c r="AB41" s="233"/>
    </row>
    <row r="42" spans="1:28" s="138" customFormat="1" ht="27.75" customHeight="1" x14ac:dyDescent="0.15">
      <c r="A42" s="198">
        <v>26</v>
      </c>
      <c r="B42" s="148" t="s">
        <v>124</v>
      </c>
      <c r="C42" s="148" t="s">
        <v>125</v>
      </c>
      <c r="D42" s="149" t="s">
        <v>22</v>
      </c>
      <c r="E42" s="198">
        <v>2</v>
      </c>
      <c r="F42" s="147" t="s">
        <v>23</v>
      </c>
      <c r="G42" s="239">
        <v>691886</v>
      </c>
      <c r="H42" s="239">
        <f t="shared" si="22"/>
        <v>1383772</v>
      </c>
      <c r="I42" s="239">
        <f>1760700/1.19</f>
        <v>1479579.8319327731</v>
      </c>
      <c r="J42" s="249">
        <f t="shared" si="32"/>
        <v>2959159.6638655462</v>
      </c>
      <c r="K42" s="252">
        <f>623625/1.19</f>
        <v>524054.62184873951</v>
      </c>
      <c r="L42" s="239">
        <f t="shared" si="24"/>
        <v>1048109.243697479</v>
      </c>
      <c r="M42" s="252">
        <f>341926.666666667/1.19</f>
        <v>287333.3333333336</v>
      </c>
      <c r="N42" s="239">
        <f>+M42*E42</f>
        <v>574666.66666666721</v>
      </c>
      <c r="O42" s="239"/>
      <c r="P42" s="249"/>
      <c r="Q42" s="252">
        <f>764400/1.19</f>
        <v>642352.9411764706</v>
      </c>
      <c r="R42" s="239">
        <f t="shared" si="33"/>
        <v>1284705.8823529412</v>
      </c>
      <c r="S42" s="252"/>
      <c r="T42" s="239"/>
      <c r="U42" s="239">
        <f t="shared" si="26"/>
        <v>1527311.858076564</v>
      </c>
      <c r="V42" s="239">
        <f t="shared" si="27"/>
        <v>574666.66666666721</v>
      </c>
      <c r="W42" s="239">
        <f t="shared" si="28"/>
        <v>1048109.243697479</v>
      </c>
      <c r="X42" s="240">
        <f t="shared" si="29"/>
        <v>1212449.4815962007</v>
      </c>
      <c r="Y42" s="281">
        <f t="shared" si="30"/>
        <v>1284705.8823529412</v>
      </c>
      <c r="Z42" s="255">
        <f>Y42</f>
        <v>1284705.8823529412</v>
      </c>
      <c r="AA42" s="233"/>
      <c r="AB42" s="233"/>
    </row>
    <row r="43" spans="1:28" s="138" customFormat="1" ht="27.75" customHeight="1" x14ac:dyDescent="0.15">
      <c r="A43" s="198">
        <v>27</v>
      </c>
      <c r="B43" s="148" t="s">
        <v>72</v>
      </c>
      <c r="C43" s="148" t="s">
        <v>334</v>
      </c>
      <c r="D43" s="149" t="s">
        <v>22</v>
      </c>
      <c r="E43" s="198">
        <v>2</v>
      </c>
      <c r="F43" s="147" t="s">
        <v>23</v>
      </c>
      <c r="G43" s="239">
        <v>1307505</v>
      </c>
      <c r="H43" s="239">
        <f t="shared" si="22"/>
        <v>2615010</v>
      </c>
      <c r="I43" s="239">
        <f>1047000/1.19</f>
        <v>879831.93277310929</v>
      </c>
      <c r="J43" s="249">
        <f t="shared" si="32"/>
        <v>1759663.8655462186</v>
      </c>
      <c r="K43" s="252">
        <f>1474875/1.19</f>
        <v>1239390.7563025211</v>
      </c>
      <c r="L43" s="239">
        <f t="shared" si="24"/>
        <v>2478781.5126050422</v>
      </c>
      <c r="M43" s="252">
        <f>294326.666666667/1.19</f>
        <v>247333.3333333336</v>
      </c>
      <c r="N43" s="239">
        <f>+M43*E43</f>
        <v>494666.66666666721</v>
      </c>
      <c r="O43" s="239"/>
      <c r="P43" s="249"/>
      <c r="Q43" s="252">
        <v>1672200</v>
      </c>
      <c r="R43" s="239">
        <f t="shared" si="33"/>
        <v>3344400</v>
      </c>
      <c r="S43" s="252"/>
      <c r="T43" s="239"/>
      <c r="U43" s="239">
        <f t="shared" si="26"/>
        <v>1577704.0149393091</v>
      </c>
      <c r="V43" s="239">
        <f t="shared" si="27"/>
        <v>494666.66666666721</v>
      </c>
      <c r="W43" s="239">
        <f t="shared" si="28"/>
        <v>1759663.8655462186</v>
      </c>
      <c r="X43" s="240">
        <f t="shared" si="29"/>
        <v>1292191.4710130868</v>
      </c>
      <c r="Y43" s="281">
        <f t="shared" si="30"/>
        <v>3344400</v>
      </c>
      <c r="Z43" s="255">
        <f>X43</f>
        <v>1292191.4710130868</v>
      </c>
      <c r="AA43" s="233"/>
      <c r="AB43" s="233"/>
    </row>
    <row r="44" spans="1:28" s="138" customFormat="1" ht="27.75" customHeight="1" x14ac:dyDescent="0.15">
      <c r="A44" s="198">
        <v>28</v>
      </c>
      <c r="B44" s="148" t="s">
        <v>126</v>
      </c>
      <c r="C44" s="148" t="s">
        <v>127</v>
      </c>
      <c r="D44" s="149" t="s">
        <v>22</v>
      </c>
      <c r="E44" s="198">
        <v>1</v>
      </c>
      <c r="F44" s="147" t="s">
        <v>23</v>
      </c>
      <c r="G44" s="239">
        <v>3979511</v>
      </c>
      <c r="H44" s="239">
        <f t="shared" si="22"/>
        <v>3979511</v>
      </c>
      <c r="I44" s="239">
        <f>113700/1.19</f>
        <v>95546.218487394959</v>
      </c>
      <c r="J44" s="249">
        <f t="shared" si="32"/>
        <v>95546.218487394959</v>
      </c>
      <c r="K44" s="252">
        <f>14375/1.19</f>
        <v>12079.83193277311</v>
      </c>
      <c r="L44" s="239">
        <f t="shared" si="24"/>
        <v>12079.83193277311</v>
      </c>
      <c r="M44" s="252"/>
      <c r="N44" s="239"/>
      <c r="O44" s="239"/>
      <c r="P44" s="249"/>
      <c r="Q44" s="252">
        <f>3236800/1.19</f>
        <v>2720000</v>
      </c>
      <c r="R44" s="239">
        <f t="shared" si="33"/>
        <v>2720000</v>
      </c>
      <c r="S44" s="252"/>
      <c r="T44" s="239"/>
      <c r="U44" s="239">
        <f t="shared" si="26"/>
        <v>53813.025210084037</v>
      </c>
      <c r="V44" s="239">
        <f t="shared" si="27"/>
        <v>12079.83193277311</v>
      </c>
      <c r="W44" s="239">
        <f t="shared" si="28"/>
        <v>53813.02521008403</v>
      </c>
      <c r="X44" s="240">
        <f t="shared" si="29"/>
        <v>33973.258029511242</v>
      </c>
      <c r="Y44" s="281">
        <f t="shared" si="30"/>
        <v>2720000</v>
      </c>
      <c r="Z44" s="255">
        <f>Y44</f>
        <v>2720000</v>
      </c>
      <c r="AA44" s="233"/>
      <c r="AB44" s="233"/>
    </row>
    <row r="45" spans="1:28" s="138" customFormat="1" ht="27.75" customHeight="1" x14ac:dyDescent="0.15">
      <c r="A45" s="198">
        <v>39</v>
      </c>
      <c r="B45" s="148" t="s">
        <v>128</v>
      </c>
      <c r="C45" s="148" t="s">
        <v>129</v>
      </c>
      <c r="D45" s="149" t="s">
        <v>81</v>
      </c>
      <c r="E45" s="198">
        <v>2</v>
      </c>
      <c r="F45" s="147" t="s">
        <v>23</v>
      </c>
      <c r="G45" s="239">
        <v>994971</v>
      </c>
      <c r="H45" s="239">
        <f t="shared" si="22"/>
        <v>1989942</v>
      </c>
      <c r="I45" s="239">
        <f>8067000/1.19</f>
        <v>6778991.5966386562</v>
      </c>
      <c r="J45" s="249">
        <f t="shared" si="32"/>
        <v>13557983.193277312</v>
      </c>
      <c r="K45" s="252">
        <f>724875/1.19</f>
        <v>609138.65546218492</v>
      </c>
      <c r="L45" s="239">
        <f t="shared" si="24"/>
        <v>1218277.3109243698</v>
      </c>
      <c r="M45" s="252"/>
      <c r="N45" s="239"/>
      <c r="O45" s="239"/>
      <c r="P45" s="249"/>
      <c r="Q45" s="252">
        <v>968700</v>
      </c>
      <c r="R45" s="239">
        <f t="shared" si="33"/>
        <v>1937400</v>
      </c>
      <c r="S45" s="252"/>
      <c r="T45" s="239"/>
      <c r="U45" s="239">
        <f t="shared" si="26"/>
        <v>7388130.2521008411</v>
      </c>
      <c r="V45" s="239">
        <f t="shared" si="27"/>
        <v>1218277.3109243698</v>
      </c>
      <c r="W45" s="239">
        <f t="shared" si="28"/>
        <v>7388130.2521008411</v>
      </c>
      <c r="X45" s="240">
        <f t="shared" si="29"/>
        <v>4064158.3761295141</v>
      </c>
      <c r="Y45" s="281">
        <f t="shared" si="30"/>
        <v>1937400</v>
      </c>
      <c r="Z45" s="255">
        <f>Y45</f>
        <v>1937400</v>
      </c>
      <c r="AA45" s="233"/>
      <c r="AB45" s="233"/>
    </row>
    <row r="46" spans="1:28" s="138" customFormat="1" ht="27.75" customHeight="1" x14ac:dyDescent="0.15">
      <c r="A46" s="198">
        <v>40</v>
      </c>
      <c r="B46" s="148" t="s">
        <v>130</v>
      </c>
      <c r="C46" s="148" t="s">
        <v>131</v>
      </c>
      <c r="D46" s="149" t="s">
        <v>22</v>
      </c>
      <c r="E46" s="198">
        <v>3</v>
      </c>
      <c r="F46" s="147" t="s">
        <v>23</v>
      </c>
      <c r="G46" s="239">
        <v>245660</v>
      </c>
      <c r="H46" s="239">
        <f t="shared" si="22"/>
        <v>736980</v>
      </c>
      <c r="I46" s="239">
        <f>5999700/1.19</f>
        <v>5041764.7058823528</v>
      </c>
      <c r="J46" s="249">
        <f t="shared" si="32"/>
        <v>15125294.117647059</v>
      </c>
      <c r="K46" s="252">
        <f>762375/1.19</f>
        <v>640651.26050420175</v>
      </c>
      <c r="L46" s="239">
        <f t="shared" si="24"/>
        <v>1921953.7815126053</v>
      </c>
      <c r="M46" s="252">
        <f>770326.666666667/1.19</f>
        <v>647333.3333333336</v>
      </c>
      <c r="N46" s="239">
        <f>+M46*E46</f>
        <v>1942000.0000000009</v>
      </c>
      <c r="O46" s="239"/>
      <c r="P46" s="249"/>
      <c r="Q46" s="252">
        <f>266972/1.19</f>
        <v>224346.21848739497</v>
      </c>
      <c r="R46" s="239">
        <f t="shared" si="33"/>
        <v>673038.65546218492</v>
      </c>
      <c r="S46" s="252"/>
      <c r="T46" s="239"/>
      <c r="U46" s="239">
        <f t="shared" si="26"/>
        <v>6329749.2997198887</v>
      </c>
      <c r="V46" s="239">
        <f t="shared" si="27"/>
        <v>1921953.7815126053</v>
      </c>
      <c r="W46" s="239">
        <f t="shared" si="28"/>
        <v>1942000.0000000009</v>
      </c>
      <c r="X46" s="240">
        <f t="shared" si="29"/>
        <v>3836177.2420087252</v>
      </c>
      <c r="Y46" s="281">
        <f t="shared" si="30"/>
        <v>673038.65546218492</v>
      </c>
      <c r="Z46" s="255">
        <f>Y46</f>
        <v>673038.65546218492</v>
      </c>
      <c r="AA46" s="233"/>
      <c r="AB46" s="233"/>
    </row>
    <row r="47" spans="1:28" s="269" customFormat="1" ht="48" customHeight="1" x14ac:dyDescent="0.15">
      <c r="A47" s="304" t="s">
        <v>347</v>
      </c>
      <c r="B47" s="305"/>
      <c r="C47" s="305"/>
      <c r="D47" s="305"/>
      <c r="E47" s="306"/>
      <c r="F47" s="264"/>
      <c r="G47" s="265">
        <f t="shared" ref="G47:U47" si="34">SUM(G48:G49)</f>
        <v>1250000</v>
      </c>
      <c r="H47" s="265">
        <f t="shared" si="34"/>
        <v>1730000</v>
      </c>
      <c r="I47" s="265">
        <f t="shared" si="34"/>
        <v>4356554.6218487397</v>
      </c>
      <c r="J47" s="265">
        <f t="shared" si="34"/>
        <v>8272184.8739495808</v>
      </c>
      <c r="K47" s="265">
        <f t="shared" si="34"/>
        <v>1276768.9075630251</v>
      </c>
      <c r="L47" s="265">
        <f t="shared" si="34"/>
        <v>1696831.9327731093</v>
      </c>
      <c r="M47" s="265">
        <f t="shared" si="34"/>
        <v>260666.66666666642</v>
      </c>
      <c r="N47" s="265">
        <f t="shared" si="34"/>
        <v>521333.33333333285</v>
      </c>
      <c r="O47" s="265">
        <f t="shared" si="34"/>
        <v>0</v>
      </c>
      <c r="P47" s="265">
        <f t="shared" si="34"/>
        <v>0</v>
      </c>
      <c r="Q47" s="265">
        <f t="shared" si="34"/>
        <v>949327.73109243705</v>
      </c>
      <c r="R47" s="265">
        <f t="shared" si="34"/>
        <v>1476386.5546218487</v>
      </c>
      <c r="S47" s="265">
        <f t="shared" si="34"/>
        <v>0</v>
      </c>
      <c r="T47" s="265">
        <f t="shared" si="34"/>
        <v>0</v>
      </c>
      <c r="U47" s="265">
        <f t="shared" si="34"/>
        <v>3713055.0887021474</v>
      </c>
      <c r="V47" s="265">
        <f>SUM(V48:V49)</f>
        <v>962257.70308123203</v>
      </c>
      <c r="W47" s="265">
        <f>SUM(W48:W49)</f>
        <v>1488941.1764705884</v>
      </c>
      <c r="X47" s="266">
        <f>SUM(X48:X49)</f>
        <v>2122708.9842866831</v>
      </c>
      <c r="Y47" s="266">
        <f>SUM(Y48:Y49)</f>
        <v>1476386.5546218487</v>
      </c>
      <c r="Z47" s="266">
        <f>SUM(Z48:Z49)</f>
        <v>1170148.4593837531</v>
      </c>
      <c r="AA47" s="268">
        <v>1730000</v>
      </c>
      <c r="AB47" s="268">
        <f>+AA47-Z47</f>
        <v>559851.54061624687</v>
      </c>
    </row>
    <row r="48" spans="1:28" s="138" customFormat="1" ht="27.75" customHeight="1" x14ac:dyDescent="0.15">
      <c r="A48" s="198">
        <v>41</v>
      </c>
      <c r="B48" s="148" t="s">
        <v>159</v>
      </c>
      <c r="C48" s="148" t="s">
        <v>160</v>
      </c>
      <c r="D48" s="149" t="s">
        <v>22</v>
      </c>
      <c r="E48" s="198">
        <v>2</v>
      </c>
      <c r="F48" s="147" t="s">
        <v>23</v>
      </c>
      <c r="G48" s="239">
        <v>480000</v>
      </c>
      <c r="H48" s="239">
        <f t="shared" ref="H48:H80" si="35">G48*E48</f>
        <v>960000</v>
      </c>
      <c r="I48" s="239">
        <f>4659600/1.19</f>
        <v>3915630.2521008407</v>
      </c>
      <c r="J48" s="249">
        <f t="shared" ref="J48:J49" si="36">+I48*E48</f>
        <v>7831260.5042016814</v>
      </c>
      <c r="K48" s="252">
        <f>499875/1.19</f>
        <v>420063.02521008404</v>
      </c>
      <c r="L48" s="239">
        <f t="shared" ref="L48:L49" si="37">+K48*E48</f>
        <v>840126.05042016809</v>
      </c>
      <c r="M48" s="252">
        <f>310193.333333333/1.19</f>
        <v>260666.66666666642</v>
      </c>
      <c r="N48" s="239">
        <f t="shared" ref="N48:N80" si="38">+M48*E48</f>
        <v>521333.33333333285</v>
      </c>
      <c r="O48" s="239"/>
      <c r="P48" s="249"/>
      <c r="Q48" s="252">
        <f>627200/1.19</f>
        <v>527058.82352941181</v>
      </c>
      <c r="R48" s="239">
        <f t="shared" ref="R48:R51" si="39">Q48*E48</f>
        <v>1054117.6470588236</v>
      </c>
      <c r="S48" s="252"/>
      <c r="T48" s="239"/>
      <c r="U48" s="239">
        <f t="shared" ref="U48:U49" si="40">AVERAGE(J48,L48,N48)</f>
        <v>3064239.9626517273</v>
      </c>
      <c r="V48" s="239">
        <f t="shared" ref="V48:V49" si="41">+MIN(J48,L48,N48)</f>
        <v>521333.33333333285</v>
      </c>
      <c r="W48" s="239">
        <f t="shared" ref="W48:W49" si="42">MEDIAN(J48,L48,N48)</f>
        <v>840126.05042016809</v>
      </c>
      <c r="X48" s="240">
        <f t="shared" ref="X48:X49" si="43">GEOMEAN(J48,L48,N48)</f>
        <v>1508101.3848902972</v>
      </c>
      <c r="Y48" s="281">
        <f t="shared" ref="Y48:Y49" si="44">AVERAGE(P48,R48,T48)</f>
        <v>1054117.6470588236</v>
      </c>
      <c r="Z48" s="255">
        <f>+V48</f>
        <v>521333.33333333285</v>
      </c>
      <c r="AA48" s="233"/>
      <c r="AB48" s="233"/>
    </row>
    <row r="49" spans="1:28" s="138" customFormat="1" ht="27.75" customHeight="1" x14ac:dyDescent="0.15">
      <c r="A49" s="198">
        <v>42</v>
      </c>
      <c r="B49" s="148" t="s">
        <v>161</v>
      </c>
      <c r="C49" s="148" t="s">
        <v>162</v>
      </c>
      <c r="D49" s="149" t="s">
        <v>107</v>
      </c>
      <c r="E49" s="198">
        <v>1</v>
      </c>
      <c r="F49" s="147" t="s">
        <v>23</v>
      </c>
      <c r="G49" s="239">
        <v>770000</v>
      </c>
      <c r="H49" s="239">
        <f t="shared" si="35"/>
        <v>770000</v>
      </c>
      <c r="I49" s="239">
        <f>524700/1.19</f>
        <v>440924.36974789918</v>
      </c>
      <c r="J49" s="249">
        <f t="shared" si="36"/>
        <v>440924.36974789918</v>
      </c>
      <c r="K49" s="252">
        <f>1019480/1.19</f>
        <v>856705.8823529412</v>
      </c>
      <c r="L49" s="239">
        <f t="shared" si="37"/>
        <v>856705.8823529412</v>
      </c>
      <c r="M49" s="252"/>
      <c r="N49" s="239"/>
      <c r="O49" s="239"/>
      <c r="P49" s="249"/>
      <c r="Q49" s="252">
        <f>502500/1.19</f>
        <v>422268.90756302525</v>
      </c>
      <c r="R49" s="239">
        <f t="shared" si="39"/>
        <v>422268.90756302525</v>
      </c>
      <c r="S49" s="252"/>
      <c r="T49" s="239"/>
      <c r="U49" s="239">
        <f t="shared" si="40"/>
        <v>648815.12605042022</v>
      </c>
      <c r="V49" s="239">
        <f t="shared" si="41"/>
        <v>440924.36974789918</v>
      </c>
      <c r="W49" s="239">
        <f t="shared" si="42"/>
        <v>648815.12605042022</v>
      </c>
      <c r="X49" s="240">
        <f t="shared" si="43"/>
        <v>614607.59939638595</v>
      </c>
      <c r="Y49" s="281">
        <f t="shared" si="44"/>
        <v>422268.90756302525</v>
      </c>
      <c r="Z49" s="255">
        <f>U49</f>
        <v>648815.12605042022</v>
      </c>
      <c r="AA49" s="233"/>
      <c r="AB49" s="233"/>
    </row>
    <row r="50" spans="1:28" s="269" customFormat="1" ht="27.75" customHeight="1" x14ac:dyDescent="0.15">
      <c r="A50" s="304" t="s">
        <v>163</v>
      </c>
      <c r="B50" s="305"/>
      <c r="C50" s="305"/>
      <c r="D50" s="305"/>
      <c r="E50" s="306"/>
      <c r="F50" s="264"/>
      <c r="G50" s="265">
        <f t="shared" ref="G50:Z50" si="45">SUM(G51:G51)</f>
        <v>285000</v>
      </c>
      <c r="H50" s="265">
        <f t="shared" si="45"/>
        <v>570000</v>
      </c>
      <c r="I50" s="265">
        <f t="shared" si="45"/>
        <v>224369.74789915967</v>
      </c>
      <c r="J50" s="265">
        <f t="shared" si="45"/>
        <v>448739.49579831935</v>
      </c>
      <c r="K50" s="265">
        <f t="shared" si="45"/>
        <v>172792.43697478992</v>
      </c>
      <c r="L50" s="265">
        <f t="shared" si="45"/>
        <v>345584.87394957984</v>
      </c>
      <c r="M50" s="265">
        <f t="shared" si="45"/>
        <v>0</v>
      </c>
      <c r="N50" s="265">
        <f t="shared" si="45"/>
        <v>0</v>
      </c>
      <c r="O50" s="265">
        <f t="shared" si="45"/>
        <v>0</v>
      </c>
      <c r="P50" s="265">
        <f t="shared" si="45"/>
        <v>0</v>
      </c>
      <c r="Q50" s="265">
        <f t="shared" si="45"/>
        <v>357647.05882352946</v>
      </c>
      <c r="R50" s="265">
        <f t="shared" si="45"/>
        <v>715294.11764705891</v>
      </c>
      <c r="S50" s="265">
        <f t="shared" si="45"/>
        <v>0</v>
      </c>
      <c r="T50" s="265">
        <f t="shared" si="45"/>
        <v>0</v>
      </c>
      <c r="U50" s="265">
        <f t="shared" si="45"/>
        <v>397162.18487394962</v>
      </c>
      <c r="V50" s="265">
        <f t="shared" si="45"/>
        <v>345584.87394957984</v>
      </c>
      <c r="W50" s="265">
        <f t="shared" si="45"/>
        <v>397162.18487394962</v>
      </c>
      <c r="X50" s="266">
        <f t="shared" si="45"/>
        <v>393798.91072939779</v>
      </c>
      <c r="Y50" s="266">
        <f t="shared" si="45"/>
        <v>715294.11764705891</v>
      </c>
      <c r="Z50" s="266">
        <f t="shared" si="45"/>
        <v>397162.18487394962</v>
      </c>
      <c r="AA50" s="268">
        <v>570000</v>
      </c>
      <c r="AB50" s="268">
        <f>+AA50-Z50</f>
        <v>172837.81512605038</v>
      </c>
    </row>
    <row r="51" spans="1:28" s="138" customFormat="1" ht="27.75" customHeight="1" x14ac:dyDescent="0.15">
      <c r="A51" s="198">
        <v>43</v>
      </c>
      <c r="B51" s="148" t="s">
        <v>164</v>
      </c>
      <c r="C51" s="148" t="s">
        <v>165</v>
      </c>
      <c r="D51" s="149" t="s">
        <v>22</v>
      </c>
      <c r="E51" s="198">
        <v>2</v>
      </c>
      <c r="F51" s="147" t="s">
        <v>23</v>
      </c>
      <c r="G51" s="239">
        <v>285000</v>
      </c>
      <c r="H51" s="239">
        <f t="shared" si="35"/>
        <v>570000</v>
      </c>
      <c r="I51" s="239">
        <f>267000/1.19</f>
        <v>224369.74789915967</v>
      </c>
      <c r="J51" s="249">
        <f t="shared" ref="J51" si="46">+I51*E51</f>
        <v>448739.49579831935</v>
      </c>
      <c r="K51" s="252">
        <f>205623/1.19</f>
        <v>172792.43697478992</v>
      </c>
      <c r="L51" s="239">
        <f>+K51*E51</f>
        <v>345584.87394957984</v>
      </c>
      <c r="M51" s="252"/>
      <c r="N51" s="239"/>
      <c r="O51" s="239"/>
      <c r="P51" s="249"/>
      <c r="Q51" s="252">
        <f>425600/1.19</f>
        <v>357647.05882352946</v>
      </c>
      <c r="R51" s="239">
        <f t="shared" si="39"/>
        <v>715294.11764705891</v>
      </c>
      <c r="S51" s="252"/>
      <c r="T51" s="239"/>
      <c r="U51" s="239">
        <f>AVERAGE(J51,L51,N51)</f>
        <v>397162.18487394962</v>
      </c>
      <c r="V51" s="239">
        <f>+MIN(J51,L51,N51)</f>
        <v>345584.87394957984</v>
      </c>
      <c r="W51" s="239">
        <f>MEDIAN(J51,L51,N51)</f>
        <v>397162.18487394962</v>
      </c>
      <c r="X51" s="240">
        <f>GEOMEAN(J51,L51,N51)</f>
        <v>393798.91072939779</v>
      </c>
      <c r="Y51" s="281">
        <f>AVERAGE(P51,R51,T51)</f>
        <v>715294.11764705891</v>
      </c>
      <c r="Z51" s="255">
        <f>U51</f>
        <v>397162.18487394962</v>
      </c>
      <c r="AA51" s="233"/>
      <c r="AB51" s="233"/>
    </row>
    <row r="52" spans="1:28" s="269" customFormat="1" ht="27.75" customHeight="1" x14ac:dyDescent="0.15">
      <c r="A52" s="304" t="s">
        <v>169</v>
      </c>
      <c r="B52" s="305"/>
      <c r="C52" s="305"/>
      <c r="D52" s="305"/>
      <c r="E52" s="306"/>
      <c r="F52" s="264"/>
      <c r="G52" s="265">
        <f t="shared" ref="G52:Y52" si="47">SUM(G53:G55)</f>
        <v>1945000</v>
      </c>
      <c r="H52" s="265">
        <f t="shared" si="47"/>
        <v>3820000</v>
      </c>
      <c r="I52" s="265">
        <f t="shared" si="47"/>
        <v>3931779.5546218492</v>
      </c>
      <c r="J52" s="265">
        <f t="shared" si="47"/>
        <v>6930059.3949579839</v>
      </c>
      <c r="K52" s="265">
        <f t="shared" si="47"/>
        <v>817154.62184873957</v>
      </c>
      <c r="L52" s="265">
        <f t="shared" si="47"/>
        <v>1877336.9747899161</v>
      </c>
      <c r="M52" s="265">
        <f t="shared" si="47"/>
        <v>1774936</v>
      </c>
      <c r="N52" s="265">
        <f t="shared" si="47"/>
        <v>2874936</v>
      </c>
      <c r="O52" s="265">
        <f t="shared" si="47"/>
        <v>0</v>
      </c>
      <c r="P52" s="265">
        <f t="shared" si="47"/>
        <v>0</v>
      </c>
      <c r="Q52" s="265">
        <f t="shared" si="47"/>
        <v>1134201.6806722688</v>
      </c>
      <c r="R52" s="265">
        <f t="shared" si="47"/>
        <v>2127563.0252100844</v>
      </c>
      <c r="S52" s="265">
        <f t="shared" si="47"/>
        <v>0</v>
      </c>
      <c r="T52" s="265">
        <f t="shared" si="47"/>
        <v>0</v>
      </c>
      <c r="U52" s="265">
        <f t="shared" si="47"/>
        <v>3894110.7899159668</v>
      </c>
      <c r="V52" s="265">
        <f t="shared" si="47"/>
        <v>1770891.5966386555</v>
      </c>
      <c r="W52" s="265">
        <f t="shared" si="47"/>
        <v>2981381.3781512603</v>
      </c>
      <c r="X52" s="266">
        <f t="shared" si="47"/>
        <v>3199126.0660963566</v>
      </c>
      <c r="Y52" s="266">
        <f t="shared" si="47"/>
        <v>2127563.0252100844</v>
      </c>
      <c r="Z52" s="267">
        <f>SUM(Z53:Z55)</f>
        <v>2421820.9142078427</v>
      </c>
      <c r="AA52" s="268">
        <v>3820000</v>
      </c>
      <c r="AB52" s="268">
        <f>+AA52-Z52</f>
        <v>1398179.0857921573</v>
      </c>
    </row>
    <row r="53" spans="1:28" s="138" customFormat="1" ht="27.75" customHeight="1" x14ac:dyDescent="0.15">
      <c r="A53" s="198">
        <v>44</v>
      </c>
      <c r="B53" s="148" t="s">
        <v>170</v>
      </c>
      <c r="C53" s="148" t="s">
        <v>171</v>
      </c>
      <c r="D53" s="149" t="s">
        <v>22</v>
      </c>
      <c r="E53" s="198">
        <v>2</v>
      </c>
      <c r="F53" s="147" t="s">
        <v>23</v>
      </c>
      <c r="G53" s="239">
        <v>480000</v>
      </c>
      <c r="H53" s="239">
        <f t="shared" si="35"/>
        <v>960000</v>
      </c>
      <c r="I53" s="239">
        <f>1049700/1.19</f>
        <v>882100.84033613454</v>
      </c>
      <c r="J53" s="249">
        <f t="shared" ref="J53:J55" si="48">+I53*E53</f>
        <v>1764201.6806722691</v>
      </c>
      <c r="K53" s="252">
        <f>379875/1.19</f>
        <v>319222.68907563027</v>
      </c>
      <c r="L53" s="239">
        <f t="shared" ref="L53:L55" si="49">+K53*E53</f>
        <v>638445.37815126055</v>
      </c>
      <c r="M53" s="252">
        <f>316540/1.19</f>
        <v>266000</v>
      </c>
      <c r="N53" s="239">
        <f t="shared" si="38"/>
        <v>532000</v>
      </c>
      <c r="O53" s="239"/>
      <c r="P53" s="249"/>
      <c r="Q53" s="252">
        <f>391900/1.19</f>
        <v>329327.731092437</v>
      </c>
      <c r="R53" s="239">
        <f>Q53*E53</f>
        <v>658655.46218487399</v>
      </c>
      <c r="S53" s="252"/>
      <c r="T53" s="239"/>
      <c r="U53" s="239">
        <f t="shared" ref="U53:U55" si="50">AVERAGE(J53,L53,N53)</f>
        <v>978215.68627450988</v>
      </c>
      <c r="V53" s="239">
        <f t="shared" ref="V53:V55" si="51">+MIN(J53,L53,N53)</f>
        <v>532000</v>
      </c>
      <c r="W53" s="239">
        <f t="shared" ref="W53:W55" si="52">MEDIAN(J53,L53,N53)</f>
        <v>638445.37815126055</v>
      </c>
      <c r="X53" s="240">
        <f t="shared" ref="X53:X55" si="53">GEOMEAN(J53,L53,N53)</f>
        <v>843065.27924545074</v>
      </c>
      <c r="Y53" s="281">
        <f t="shared" ref="Y53:Y55" si="54">AVERAGE(P53,R53,T53)</f>
        <v>658655.46218487399</v>
      </c>
      <c r="Z53" s="255">
        <f>W53</f>
        <v>638445.37815126055</v>
      </c>
      <c r="AA53" s="233"/>
      <c r="AB53" s="233"/>
    </row>
    <row r="54" spans="1:28" s="138" customFormat="1" ht="27.75" customHeight="1" x14ac:dyDescent="0.15">
      <c r="A54" s="198">
        <v>45</v>
      </c>
      <c r="B54" s="148" t="s">
        <v>279</v>
      </c>
      <c r="C54" s="148" t="s">
        <v>173</v>
      </c>
      <c r="D54" s="149" t="s">
        <v>22</v>
      </c>
      <c r="E54" s="198">
        <v>4</v>
      </c>
      <c r="F54" s="147" t="s">
        <v>23</v>
      </c>
      <c r="G54" s="239">
        <v>465000</v>
      </c>
      <c r="H54" s="239">
        <f t="shared" si="35"/>
        <v>1860000</v>
      </c>
      <c r="I54" s="239">
        <v>705393</v>
      </c>
      <c r="J54" s="249">
        <f t="shared" si="48"/>
        <v>2821572</v>
      </c>
      <c r="K54" s="252">
        <f>293914/1.19</f>
        <v>246986.55462184874</v>
      </c>
      <c r="L54" s="239">
        <f t="shared" si="49"/>
        <v>987946.21848739497</v>
      </c>
      <c r="M54" s="252">
        <f>330820/1.19</f>
        <v>278000</v>
      </c>
      <c r="N54" s="239">
        <f t="shared" si="38"/>
        <v>1112000</v>
      </c>
      <c r="O54" s="239"/>
      <c r="P54" s="249"/>
      <c r="Q54" s="252">
        <f>263400/1.19</f>
        <v>221344.53781512607</v>
      </c>
      <c r="R54" s="239">
        <f>Q54*E54</f>
        <v>885378.15126050427</v>
      </c>
      <c r="S54" s="252"/>
      <c r="T54" s="239"/>
      <c r="U54" s="239">
        <f t="shared" si="50"/>
        <v>1640506.0728291317</v>
      </c>
      <c r="V54" s="239">
        <f t="shared" si="51"/>
        <v>987946.21848739497</v>
      </c>
      <c r="W54" s="239">
        <f t="shared" si="52"/>
        <v>1112000</v>
      </c>
      <c r="X54" s="240">
        <f t="shared" si="53"/>
        <v>1458063.4020548279</v>
      </c>
      <c r="Y54" s="281">
        <f t="shared" si="54"/>
        <v>885378.15126050427</v>
      </c>
      <c r="Z54" s="255">
        <f>Y54</f>
        <v>885378.15126050427</v>
      </c>
      <c r="AA54" s="233"/>
      <c r="AB54" s="233"/>
    </row>
    <row r="55" spans="1:28" s="138" customFormat="1" ht="27.75" customHeight="1" x14ac:dyDescent="0.15">
      <c r="A55" s="198">
        <v>46</v>
      </c>
      <c r="B55" s="148" t="s">
        <v>174</v>
      </c>
      <c r="C55" s="148" t="s">
        <v>175</v>
      </c>
      <c r="D55" s="149" t="s">
        <v>22</v>
      </c>
      <c r="E55" s="198">
        <v>1</v>
      </c>
      <c r="F55" s="147" t="s">
        <v>23</v>
      </c>
      <c r="G55" s="239">
        <v>1000000</v>
      </c>
      <c r="H55" s="239">
        <f t="shared" si="35"/>
        <v>1000000</v>
      </c>
      <c r="I55" s="239">
        <f>2789700/1.19</f>
        <v>2344285.7142857146</v>
      </c>
      <c r="J55" s="249">
        <f t="shared" si="48"/>
        <v>2344285.7142857146</v>
      </c>
      <c r="K55" s="252">
        <f>298625/1.19</f>
        <v>250945.37815126052</v>
      </c>
      <c r="L55" s="239">
        <f t="shared" si="49"/>
        <v>250945.37815126052</v>
      </c>
      <c r="M55" s="252">
        <f>1034400*1.19</f>
        <v>1230936</v>
      </c>
      <c r="N55" s="239">
        <f t="shared" si="38"/>
        <v>1230936</v>
      </c>
      <c r="O55" s="239"/>
      <c r="P55" s="249"/>
      <c r="Q55" s="252">
        <f>694400/1.19</f>
        <v>583529.4117647059</v>
      </c>
      <c r="R55" s="239">
        <f>Q55*E55</f>
        <v>583529.4117647059</v>
      </c>
      <c r="S55" s="252"/>
      <c r="T55" s="239"/>
      <c r="U55" s="239">
        <f t="shared" si="50"/>
        <v>1275389.030812325</v>
      </c>
      <c r="V55" s="239">
        <f t="shared" si="51"/>
        <v>250945.37815126052</v>
      </c>
      <c r="W55" s="239">
        <f t="shared" si="52"/>
        <v>1230936</v>
      </c>
      <c r="X55" s="240">
        <f t="shared" si="53"/>
        <v>897997.38479607797</v>
      </c>
      <c r="Y55" s="281">
        <f t="shared" si="54"/>
        <v>583529.4117647059</v>
      </c>
      <c r="Z55" s="255">
        <f>X55</f>
        <v>897997.38479607797</v>
      </c>
      <c r="AA55" s="233"/>
      <c r="AB55" s="233"/>
    </row>
    <row r="56" spans="1:28" s="269" customFormat="1" ht="27.75" customHeight="1" x14ac:dyDescent="0.15">
      <c r="A56" s="304" t="s">
        <v>363</v>
      </c>
      <c r="B56" s="305"/>
      <c r="C56" s="305"/>
      <c r="D56" s="305"/>
      <c r="E56" s="306"/>
      <c r="F56" s="264"/>
      <c r="G56" s="265">
        <f>SUM(G57:G68)</f>
        <v>1272816</v>
      </c>
      <c r="H56" s="265">
        <f>SUM(H57:H68)</f>
        <v>4070313</v>
      </c>
      <c r="I56" s="265">
        <f t="shared" ref="I56:Z56" si="55">SUM(I57:I68)</f>
        <v>2328613.2352941181</v>
      </c>
      <c r="J56" s="265">
        <f t="shared" si="55"/>
        <v>7616159.2436974794</v>
      </c>
      <c r="K56" s="265">
        <f t="shared" si="55"/>
        <v>992603.99159663881</v>
      </c>
      <c r="L56" s="265">
        <f t="shared" si="55"/>
        <v>3231388.6554621849</v>
      </c>
      <c r="M56" s="265">
        <f t="shared" si="55"/>
        <v>722649.33386554616</v>
      </c>
      <c r="N56" s="265">
        <f t="shared" si="55"/>
        <v>2408466.6659943978</v>
      </c>
      <c r="O56" s="265">
        <f t="shared" si="55"/>
        <v>0</v>
      </c>
      <c r="P56" s="265">
        <f t="shared" si="55"/>
        <v>0</v>
      </c>
      <c r="Q56" s="265">
        <f t="shared" si="55"/>
        <v>993361.3445378152</v>
      </c>
      <c r="R56" s="265">
        <f t="shared" si="55"/>
        <v>3027142.8571428577</v>
      </c>
      <c r="S56" s="265">
        <f t="shared" si="55"/>
        <v>0</v>
      </c>
      <c r="T56" s="265">
        <f t="shared" si="55"/>
        <v>0</v>
      </c>
      <c r="U56" s="265">
        <f t="shared" si="55"/>
        <v>4787326.0945471525</v>
      </c>
      <c r="V56" s="265">
        <f t="shared" si="55"/>
        <v>2898300.7136134459</v>
      </c>
      <c r="W56" s="265">
        <f t="shared" si="55"/>
        <v>3635084.166666667</v>
      </c>
      <c r="X56" s="266">
        <f t="shared" si="55"/>
        <v>4264493.0612578969</v>
      </c>
      <c r="Y56" s="266">
        <f t="shared" si="55"/>
        <v>3027142.8571428577</v>
      </c>
      <c r="Z56" s="266">
        <f t="shared" si="55"/>
        <v>2855295.3791142236</v>
      </c>
      <c r="AA56" s="268">
        <v>4070313</v>
      </c>
      <c r="AB56" s="268">
        <f>+AA56-Z56</f>
        <v>1215017.6208857764</v>
      </c>
    </row>
    <row r="57" spans="1:28" s="138" customFormat="1" ht="27.75" customHeight="1" x14ac:dyDescent="0.15">
      <c r="A57" s="198">
        <v>47</v>
      </c>
      <c r="B57" s="148" t="s">
        <v>179</v>
      </c>
      <c r="C57" s="148" t="s">
        <v>180</v>
      </c>
      <c r="D57" s="149" t="s">
        <v>22</v>
      </c>
      <c r="E57" s="198">
        <v>2</v>
      </c>
      <c r="F57" s="147" t="s">
        <v>23</v>
      </c>
      <c r="G57" s="239">
        <v>109847</v>
      </c>
      <c r="H57" s="239">
        <f t="shared" ref="H57:H68" si="56">G57*E57</f>
        <v>219694</v>
      </c>
      <c r="I57" s="239">
        <v>272700</v>
      </c>
      <c r="J57" s="249">
        <f t="shared" ref="J57:J66" si="57">+I57*E57</f>
        <v>545400</v>
      </c>
      <c r="K57" s="252">
        <v>113625</v>
      </c>
      <c r="L57" s="239">
        <f t="shared" ref="L57:L68" si="58">+K57*E57</f>
        <v>227250</v>
      </c>
      <c r="M57" s="252">
        <v>92820</v>
      </c>
      <c r="N57" s="239">
        <f>+M57*E57</f>
        <v>185640</v>
      </c>
      <c r="O57" s="239"/>
      <c r="P57" s="249"/>
      <c r="Q57" s="252">
        <f>101900/1.19</f>
        <v>85630.252100840342</v>
      </c>
      <c r="R57" s="239">
        <f t="shared" ref="R57:R68" si="59">Q57*E57</f>
        <v>171260.50420168068</v>
      </c>
      <c r="S57" s="252"/>
      <c r="T57" s="239"/>
      <c r="U57" s="239">
        <f t="shared" ref="U57:U68" si="60">AVERAGE(J57,L57,N57)</f>
        <v>319430</v>
      </c>
      <c r="V57" s="239">
        <f t="shared" ref="V57:V68" si="61">+MIN(J57,L57,N57)</f>
        <v>185640</v>
      </c>
      <c r="W57" s="239">
        <f t="shared" ref="W57:W68" si="62">MEDIAN(J57,L57,N57)</f>
        <v>227250</v>
      </c>
      <c r="X57" s="240">
        <f t="shared" ref="X57:X68" si="63">GEOMEAN(J57,L57,N57)</f>
        <v>284422.22426870035</v>
      </c>
      <c r="Y57" s="281">
        <f t="shared" ref="Y57:Y68" si="64">AVERAGE(P57,R57,T57)</f>
        <v>171260.50420168068</v>
      </c>
      <c r="Z57" s="255">
        <f>Y57</f>
        <v>171260.50420168068</v>
      </c>
      <c r="AA57" s="233"/>
      <c r="AB57" s="233"/>
    </row>
    <row r="58" spans="1:28" s="138" customFormat="1" ht="27.75" customHeight="1" x14ac:dyDescent="0.15">
      <c r="A58" s="198">
        <v>48</v>
      </c>
      <c r="B58" s="148" t="s">
        <v>181</v>
      </c>
      <c r="C58" s="148" t="s">
        <v>182</v>
      </c>
      <c r="D58" s="149" t="s">
        <v>22</v>
      </c>
      <c r="E58" s="198">
        <v>4</v>
      </c>
      <c r="F58" s="147" t="s">
        <v>23</v>
      </c>
      <c r="G58" s="239">
        <v>240842</v>
      </c>
      <c r="H58" s="239">
        <f t="shared" si="56"/>
        <v>963368</v>
      </c>
      <c r="I58" s="239">
        <v>524700</v>
      </c>
      <c r="J58" s="249">
        <f t="shared" si="57"/>
        <v>2098800</v>
      </c>
      <c r="K58" s="252">
        <v>218625</v>
      </c>
      <c r="L58" s="239">
        <f t="shared" si="58"/>
        <v>874500</v>
      </c>
      <c r="M58" s="252">
        <v>198650.67</v>
      </c>
      <c r="N58" s="239">
        <f>+M58*E58</f>
        <v>794602.68</v>
      </c>
      <c r="O58" s="239"/>
      <c r="P58" s="249"/>
      <c r="Q58" s="252">
        <f>195900/1.19</f>
        <v>164621.84873949579</v>
      </c>
      <c r="R58" s="239">
        <f t="shared" si="59"/>
        <v>658487.39495798317</v>
      </c>
      <c r="S58" s="252"/>
      <c r="T58" s="239"/>
      <c r="U58" s="239">
        <f t="shared" si="60"/>
        <v>1255967.56</v>
      </c>
      <c r="V58" s="239">
        <f t="shared" si="61"/>
        <v>794602.68</v>
      </c>
      <c r="W58" s="239">
        <f t="shared" si="62"/>
        <v>874500</v>
      </c>
      <c r="X58" s="240">
        <f t="shared" si="63"/>
        <v>1134036.3224312591</v>
      </c>
      <c r="Y58" s="281">
        <f t="shared" si="64"/>
        <v>658487.39495798317</v>
      </c>
      <c r="Z58" s="255">
        <f>Y58</f>
        <v>658487.39495798317</v>
      </c>
      <c r="AA58" s="233"/>
      <c r="AB58" s="233"/>
    </row>
    <row r="59" spans="1:28" s="138" customFormat="1" ht="27.75" customHeight="1" x14ac:dyDescent="0.15">
      <c r="A59" s="198">
        <v>49</v>
      </c>
      <c r="B59" s="148" t="s">
        <v>183</v>
      </c>
      <c r="C59" s="148" t="s">
        <v>184</v>
      </c>
      <c r="D59" s="149" t="s">
        <v>81</v>
      </c>
      <c r="E59" s="198">
        <v>4</v>
      </c>
      <c r="F59" s="147" t="s">
        <v>23</v>
      </c>
      <c r="G59" s="239">
        <v>23139</v>
      </c>
      <c r="H59" s="239">
        <f t="shared" si="56"/>
        <v>92556</v>
      </c>
      <c r="I59" s="239">
        <v>83700</v>
      </c>
      <c r="J59" s="249">
        <f t="shared" si="57"/>
        <v>334800</v>
      </c>
      <c r="K59" s="252">
        <v>34875</v>
      </c>
      <c r="L59" s="239">
        <f t="shared" si="58"/>
        <v>139500</v>
      </c>
      <c r="M59" s="252"/>
      <c r="N59" s="239"/>
      <c r="O59" s="239"/>
      <c r="P59" s="249"/>
      <c r="Q59" s="252">
        <f>18500/1.19</f>
        <v>15546.218487394959</v>
      </c>
      <c r="R59" s="239">
        <f t="shared" si="59"/>
        <v>62184.873949579836</v>
      </c>
      <c r="S59" s="252"/>
      <c r="T59" s="239"/>
      <c r="U59" s="239">
        <f t="shared" si="60"/>
        <v>237150</v>
      </c>
      <c r="V59" s="239">
        <f t="shared" si="61"/>
        <v>139500</v>
      </c>
      <c r="W59" s="239">
        <f t="shared" si="62"/>
        <v>237150</v>
      </c>
      <c r="X59" s="240">
        <f t="shared" si="63"/>
        <v>216112.47071837386</v>
      </c>
      <c r="Y59" s="281">
        <f t="shared" si="64"/>
        <v>62184.873949579836</v>
      </c>
      <c r="Z59" s="255">
        <f>Y59</f>
        <v>62184.873949579836</v>
      </c>
      <c r="AA59" s="233"/>
      <c r="AB59" s="233"/>
    </row>
    <row r="60" spans="1:28" s="138" customFormat="1" ht="27.75" customHeight="1" x14ac:dyDescent="0.15">
      <c r="A60" s="198">
        <v>50</v>
      </c>
      <c r="B60" s="148" t="s">
        <v>276</v>
      </c>
      <c r="C60" s="148" t="s">
        <v>186</v>
      </c>
      <c r="D60" s="149" t="s">
        <v>107</v>
      </c>
      <c r="E60" s="198">
        <v>2</v>
      </c>
      <c r="F60" s="147" t="s">
        <v>23</v>
      </c>
      <c r="G60" s="239">
        <v>165340</v>
      </c>
      <c r="H60" s="239">
        <f t="shared" si="56"/>
        <v>330680</v>
      </c>
      <c r="I60" s="239">
        <v>398700</v>
      </c>
      <c r="J60" s="249">
        <f t="shared" si="57"/>
        <v>797400</v>
      </c>
      <c r="K60" s="252">
        <v>166125</v>
      </c>
      <c r="L60" s="239">
        <f t="shared" si="58"/>
        <v>332250</v>
      </c>
      <c r="M60" s="252">
        <v>148512</v>
      </c>
      <c r="N60" s="239">
        <f>+M60*E60</f>
        <v>297024</v>
      </c>
      <c r="O60" s="239"/>
      <c r="P60" s="249"/>
      <c r="Q60" s="252">
        <f>153400/1.19</f>
        <v>128907.5630252101</v>
      </c>
      <c r="R60" s="239">
        <f t="shared" si="59"/>
        <v>257815.12605042019</v>
      </c>
      <c r="S60" s="252"/>
      <c r="T60" s="239"/>
      <c r="U60" s="239">
        <f t="shared" si="60"/>
        <v>475558</v>
      </c>
      <c r="V60" s="239">
        <f t="shared" si="61"/>
        <v>297024</v>
      </c>
      <c r="W60" s="239">
        <f t="shared" si="62"/>
        <v>332250</v>
      </c>
      <c r="X60" s="240">
        <f t="shared" si="63"/>
        <v>428526.40527575801</v>
      </c>
      <c r="Y60" s="281">
        <f t="shared" si="64"/>
        <v>257815.12605042019</v>
      </c>
      <c r="Z60" s="255">
        <f>Y60</f>
        <v>257815.12605042019</v>
      </c>
      <c r="AA60" s="233"/>
      <c r="AB60" s="233"/>
    </row>
    <row r="61" spans="1:28" s="138" customFormat="1" ht="27.75" customHeight="1" x14ac:dyDescent="0.15">
      <c r="A61" s="198">
        <v>51</v>
      </c>
      <c r="B61" s="148" t="s">
        <v>187</v>
      </c>
      <c r="C61" s="148" t="s">
        <v>358</v>
      </c>
      <c r="D61" s="149" t="s">
        <v>107</v>
      </c>
      <c r="E61" s="198">
        <v>2</v>
      </c>
      <c r="F61" s="147" t="s">
        <v>23</v>
      </c>
      <c r="G61" s="239">
        <v>309919</v>
      </c>
      <c r="H61" s="239">
        <f t="shared" si="56"/>
        <v>619838</v>
      </c>
      <c r="I61" s="239">
        <v>334125.00000000006</v>
      </c>
      <c r="J61" s="249">
        <f t="shared" si="57"/>
        <v>668250.00000000012</v>
      </c>
      <c r="K61" s="252">
        <v>124375.00000000001</v>
      </c>
      <c r="L61" s="239">
        <f t="shared" si="58"/>
        <v>248750.00000000003</v>
      </c>
      <c r="M61" s="252"/>
      <c r="N61" s="239"/>
      <c r="O61" s="239"/>
      <c r="P61" s="249"/>
      <c r="Q61" s="252">
        <f>358400/1.19</f>
        <v>301176.4705882353</v>
      </c>
      <c r="R61" s="239">
        <f t="shared" si="59"/>
        <v>602352.9411764706</v>
      </c>
      <c r="S61" s="252"/>
      <c r="T61" s="239"/>
      <c r="U61" s="239">
        <f t="shared" si="60"/>
        <v>458500.00000000006</v>
      </c>
      <c r="V61" s="239">
        <f t="shared" si="61"/>
        <v>248750.00000000003</v>
      </c>
      <c r="W61" s="239">
        <f t="shared" si="62"/>
        <v>458500.00000000012</v>
      </c>
      <c r="X61" s="240">
        <f t="shared" si="63"/>
        <v>407709.68531542155</v>
      </c>
      <c r="Y61" s="281">
        <f t="shared" si="64"/>
        <v>602352.9411764706</v>
      </c>
      <c r="Z61" s="255">
        <f>X61</f>
        <v>407709.68531542155</v>
      </c>
      <c r="AA61" s="233"/>
      <c r="AB61" s="233"/>
    </row>
    <row r="62" spans="1:28" s="138" customFormat="1" ht="27.75" customHeight="1" x14ac:dyDescent="0.15">
      <c r="A62" s="198">
        <v>52</v>
      </c>
      <c r="B62" s="148" t="s">
        <v>278</v>
      </c>
      <c r="C62" s="148" t="s">
        <v>188</v>
      </c>
      <c r="D62" s="149" t="s">
        <v>107</v>
      </c>
      <c r="E62" s="198">
        <v>3</v>
      </c>
      <c r="F62" s="147" t="s">
        <v>23</v>
      </c>
      <c r="G62" s="239">
        <v>77102</v>
      </c>
      <c r="H62" s="239">
        <f t="shared" si="56"/>
        <v>231306</v>
      </c>
      <c r="I62" s="239">
        <f>167700/1.19</f>
        <v>140924.36974789915</v>
      </c>
      <c r="J62" s="249">
        <f t="shared" si="57"/>
        <v>422773.10924369749</v>
      </c>
      <c r="K62" s="252">
        <f>69875/1.19</f>
        <v>58718.487394957985</v>
      </c>
      <c r="L62" s="239">
        <f t="shared" si="58"/>
        <v>176155.46218487396</v>
      </c>
      <c r="M62" s="252">
        <f>67433.3333333333/1.19</f>
        <v>56666.666666666642</v>
      </c>
      <c r="N62" s="239">
        <f>+M62*E62</f>
        <v>169999.99999999994</v>
      </c>
      <c r="O62" s="239"/>
      <c r="P62" s="249"/>
      <c r="Q62" s="252">
        <f>62700/1.19</f>
        <v>52689.075630252104</v>
      </c>
      <c r="R62" s="239">
        <f t="shared" si="59"/>
        <v>158067.22689075631</v>
      </c>
      <c r="S62" s="252"/>
      <c r="T62" s="239"/>
      <c r="U62" s="239">
        <f t="shared" si="60"/>
        <v>256309.52380952379</v>
      </c>
      <c r="V62" s="239">
        <f t="shared" si="61"/>
        <v>169999.99999999994</v>
      </c>
      <c r="W62" s="239">
        <f t="shared" si="62"/>
        <v>176155.46218487396</v>
      </c>
      <c r="X62" s="240">
        <f t="shared" si="63"/>
        <v>233068.79484108617</v>
      </c>
      <c r="Y62" s="281">
        <f t="shared" si="64"/>
        <v>158067.22689075631</v>
      </c>
      <c r="Z62" s="255">
        <f>W62</f>
        <v>176155.46218487396</v>
      </c>
      <c r="AA62" s="233"/>
      <c r="AB62" s="233"/>
    </row>
    <row r="63" spans="1:28" s="138" customFormat="1" ht="27.75" customHeight="1" x14ac:dyDescent="0.15">
      <c r="A63" s="198">
        <v>53</v>
      </c>
      <c r="B63" s="148" t="s">
        <v>190</v>
      </c>
      <c r="C63" s="148" t="s">
        <v>191</v>
      </c>
      <c r="D63" s="149" t="s">
        <v>107</v>
      </c>
      <c r="E63" s="198">
        <v>5</v>
      </c>
      <c r="F63" s="147" t="s">
        <v>23</v>
      </c>
      <c r="G63" s="239">
        <v>33714</v>
      </c>
      <c r="H63" s="239">
        <f t="shared" si="56"/>
        <v>168570</v>
      </c>
      <c r="I63" s="239">
        <f>77700/1.19</f>
        <v>65294.117647058825</v>
      </c>
      <c r="J63" s="249">
        <f t="shared" si="57"/>
        <v>326470.5882352941</v>
      </c>
      <c r="K63" s="252">
        <f>32375/1.19</f>
        <v>27205.882352941178</v>
      </c>
      <c r="L63" s="239">
        <f t="shared" si="58"/>
        <v>136029.4117647059</v>
      </c>
      <c r="M63" s="252"/>
      <c r="N63" s="239"/>
      <c r="O63" s="239"/>
      <c r="P63" s="249"/>
      <c r="Q63" s="252">
        <f>25800/1.19</f>
        <v>21680.672268907565</v>
      </c>
      <c r="R63" s="239">
        <f t="shared" si="59"/>
        <v>108403.36134453783</v>
      </c>
      <c r="S63" s="252"/>
      <c r="T63" s="239"/>
      <c r="U63" s="239">
        <f t="shared" si="60"/>
        <v>231250</v>
      </c>
      <c r="V63" s="239">
        <f t="shared" si="61"/>
        <v>136029.4117647059</v>
      </c>
      <c r="W63" s="239">
        <f t="shared" si="62"/>
        <v>231250</v>
      </c>
      <c r="X63" s="240">
        <f t="shared" si="63"/>
        <v>210735.85854363887</v>
      </c>
      <c r="Y63" s="281">
        <f t="shared" si="64"/>
        <v>108403.36134453783</v>
      </c>
      <c r="Z63" s="255">
        <f>Y63</f>
        <v>108403.36134453783</v>
      </c>
      <c r="AA63" s="233"/>
      <c r="AB63" s="233"/>
    </row>
    <row r="64" spans="1:28" s="138" customFormat="1" ht="27.75" customHeight="1" x14ac:dyDescent="0.15">
      <c r="A64" s="198">
        <v>54</v>
      </c>
      <c r="B64" s="148" t="s">
        <v>192</v>
      </c>
      <c r="C64" s="148" t="s">
        <v>193</v>
      </c>
      <c r="D64" s="149" t="s">
        <v>107</v>
      </c>
      <c r="E64" s="198">
        <v>2</v>
      </c>
      <c r="F64" s="147" t="s">
        <v>23</v>
      </c>
      <c r="G64" s="239">
        <v>15452</v>
      </c>
      <c r="H64" s="239">
        <f t="shared" si="56"/>
        <v>30904</v>
      </c>
      <c r="I64" s="239">
        <f>34500/1.19</f>
        <v>28991.596638655465</v>
      </c>
      <c r="J64" s="249">
        <f t="shared" si="57"/>
        <v>57983.193277310929</v>
      </c>
      <c r="K64" s="252">
        <f>50625/1.19</f>
        <v>42542.016806722691</v>
      </c>
      <c r="L64" s="239">
        <f t="shared" si="58"/>
        <v>85084.033613445383</v>
      </c>
      <c r="M64" s="252">
        <f>23006.6666666667/1.19</f>
        <v>19333.333333333361</v>
      </c>
      <c r="N64" s="239">
        <f>+M64*E64</f>
        <v>38666.666666666722</v>
      </c>
      <c r="O64" s="239"/>
      <c r="P64" s="249"/>
      <c r="Q64" s="252">
        <f>12100/1.19</f>
        <v>10168.067226890757</v>
      </c>
      <c r="R64" s="239">
        <f t="shared" si="59"/>
        <v>20336.134453781513</v>
      </c>
      <c r="S64" s="252"/>
      <c r="T64" s="239"/>
      <c r="U64" s="239">
        <f t="shared" si="60"/>
        <v>60577.964519141009</v>
      </c>
      <c r="V64" s="239">
        <f t="shared" si="61"/>
        <v>38666.666666666722</v>
      </c>
      <c r="W64" s="239">
        <f t="shared" si="62"/>
        <v>57983.193277310929</v>
      </c>
      <c r="X64" s="240">
        <f t="shared" si="63"/>
        <v>57565.504010614481</v>
      </c>
      <c r="Y64" s="281">
        <f t="shared" si="64"/>
        <v>20336.134453781513</v>
      </c>
      <c r="Z64" s="255">
        <f>X64</f>
        <v>57565.504010614481</v>
      </c>
      <c r="AA64" s="233"/>
      <c r="AB64" s="233"/>
    </row>
    <row r="65" spans="1:28" s="138" customFormat="1" ht="27.75" customHeight="1" x14ac:dyDescent="0.15">
      <c r="A65" s="198">
        <v>55</v>
      </c>
      <c r="B65" s="148" t="s">
        <v>194</v>
      </c>
      <c r="C65" s="148" t="s">
        <v>195</v>
      </c>
      <c r="D65" s="149" t="s">
        <v>22</v>
      </c>
      <c r="E65" s="198">
        <v>4</v>
      </c>
      <c r="F65" s="147" t="s">
        <v>23</v>
      </c>
      <c r="G65" s="239">
        <v>67456</v>
      </c>
      <c r="H65" s="239">
        <f t="shared" si="56"/>
        <v>269824</v>
      </c>
      <c r="I65" s="239">
        <f>238239/1.19</f>
        <v>200200.84033613445</v>
      </c>
      <c r="J65" s="249">
        <f t="shared" si="57"/>
        <v>800803.36134453781</v>
      </c>
      <c r="K65" s="252">
        <f>52375/1.19</f>
        <v>44012.60504201681</v>
      </c>
      <c r="L65" s="239">
        <f t="shared" si="58"/>
        <v>176050.42016806724</v>
      </c>
      <c r="M65" s="252">
        <f>34113.3333333333/1.19</f>
        <v>28666.666666666639</v>
      </c>
      <c r="N65" s="239">
        <f>+M65*E65</f>
        <v>114666.66666666656</v>
      </c>
      <c r="O65" s="239"/>
      <c r="P65" s="249"/>
      <c r="Q65" s="252">
        <f>88800/1.19</f>
        <v>74621.848739495807</v>
      </c>
      <c r="R65" s="239">
        <f t="shared" si="59"/>
        <v>298487.39495798323</v>
      </c>
      <c r="S65" s="252"/>
      <c r="T65" s="239"/>
      <c r="U65" s="239">
        <f t="shared" si="60"/>
        <v>363840.14939309051</v>
      </c>
      <c r="V65" s="239">
        <f t="shared" si="61"/>
        <v>114666.66666666656</v>
      </c>
      <c r="W65" s="239">
        <f t="shared" si="62"/>
        <v>176050.42016806724</v>
      </c>
      <c r="X65" s="240">
        <f t="shared" si="63"/>
        <v>252852.1866428924</v>
      </c>
      <c r="Y65" s="281">
        <f t="shared" si="64"/>
        <v>298487.39495798323</v>
      </c>
      <c r="Z65" s="255">
        <f>X65</f>
        <v>252852.1866428924</v>
      </c>
      <c r="AA65" s="233"/>
      <c r="AB65" s="233"/>
    </row>
    <row r="66" spans="1:28" s="138" customFormat="1" ht="27.75" customHeight="1" x14ac:dyDescent="0.15">
      <c r="A66" s="198">
        <v>56</v>
      </c>
      <c r="B66" s="148" t="s">
        <v>230</v>
      </c>
      <c r="C66" s="148" t="s">
        <v>178</v>
      </c>
      <c r="D66" s="149" t="s">
        <v>22</v>
      </c>
      <c r="E66" s="198">
        <v>1</v>
      </c>
      <c r="F66" s="147" t="s">
        <v>23</v>
      </c>
      <c r="G66" s="239">
        <v>61670</v>
      </c>
      <c r="H66" s="239">
        <f t="shared" si="56"/>
        <v>61670</v>
      </c>
      <c r="I66" s="239">
        <f>77640/1.19</f>
        <v>65243.697478991598</v>
      </c>
      <c r="J66" s="249">
        <f t="shared" si="57"/>
        <v>65243.697478991598</v>
      </c>
      <c r="K66" s="252">
        <f>46125/1.19</f>
        <v>38760.504201680676</v>
      </c>
      <c r="L66" s="239">
        <f t="shared" si="58"/>
        <v>38760.504201680676</v>
      </c>
      <c r="M66" s="252">
        <f>72193.3333333333/1.19</f>
        <v>60666.666666666642</v>
      </c>
      <c r="N66" s="239">
        <f>+M66*E66</f>
        <v>60666.666666666642</v>
      </c>
      <c r="O66" s="239"/>
      <c r="P66" s="249"/>
      <c r="Q66" s="252">
        <f>48100/1.19</f>
        <v>40420.168067226892</v>
      </c>
      <c r="R66" s="239">
        <f t="shared" si="59"/>
        <v>40420.168067226892</v>
      </c>
      <c r="S66" s="252"/>
      <c r="T66" s="239"/>
      <c r="U66" s="239">
        <f t="shared" si="60"/>
        <v>54890.289449112977</v>
      </c>
      <c r="V66" s="239">
        <f t="shared" si="61"/>
        <v>38760.504201680676</v>
      </c>
      <c r="W66" s="239">
        <f t="shared" si="62"/>
        <v>60666.666666666642</v>
      </c>
      <c r="X66" s="240">
        <f t="shared" si="63"/>
        <v>53533.549363782404</v>
      </c>
      <c r="Y66" s="281">
        <f t="shared" si="64"/>
        <v>40420.168067226892</v>
      </c>
      <c r="Z66" s="255">
        <f>X66</f>
        <v>53533.549363782404</v>
      </c>
      <c r="AA66" s="233"/>
      <c r="AB66" s="233"/>
    </row>
    <row r="67" spans="1:28" s="138" customFormat="1" ht="27.75" customHeight="1" x14ac:dyDescent="0.15">
      <c r="A67" s="198">
        <v>57</v>
      </c>
      <c r="B67" s="148" t="s">
        <v>229</v>
      </c>
      <c r="C67" s="148" t="s">
        <v>197</v>
      </c>
      <c r="D67" s="149" t="s">
        <v>22</v>
      </c>
      <c r="E67" s="198">
        <v>5</v>
      </c>
      <c r="F67" s="147" t="s">
        <v>23</v>
      </c>
      <c r="G67" s="239">
        <v>48221</v>
      </c>
      <c r="H67" s="239">
        <f t="shared" si="56"/>
        <v>241105</v>
      </c>
      <c r="I67" s="239"/>
      <c r="J67" s="249"/>
      <c r="K67" s="252">
        <f>41125/1.19</f>
        <v>34558.823529411769</v>
      </c>
      <c r="L67" s="239">
        <f t="shared" si="58"/>
        <v>172794.11764705885</v>
      </c>
      <c r="M67" s="252">
        <f>44109.33/1.19</f>
        <v>37066.663865546223</v>
      </c>
      <c r="N67" s="239">
        <f>+M67*E67</f>
        <v>185333.31932773112</v>
      </c>
      <c r="O67" s="239"/>
      <c r="P67" s="249"/>
      <c r="Q67" s="252">
        <f>21400/1.19</f>
        <v>17983.193277310926</v>
      </c>
      <c r="R67" s="239">
        <f t="shared" si="59"/>
        <v>89915.966386554632</v>
      </c>
      <c r="S67" s="252"/>
      <c r="T67" s="239"/>
      <c r="U67" s="239">
        <f t="shared" si="60"/>
        <v>179063.71848739497</v>
      </c>
      <c r="V67" s="239">
        <f t="shared" si="61"/>
        <v>172794.11764705885</v>
      </c>
      <c r="W67" s="239">
        <f t="shared" si="62"/>
        <v>179063.71848739497</v>
      </c>
      <c r="X67" s="240">
        <f t="shared" si="63"/>
        <v>178953.92530994088</v>
      </c>
      <c r="Y67" s="281">
        <f t="shared" si="64"/>
        <v>89915.966386554632</v>
      </c>
      <c r="Z67" s="255">
        <f>Y67</f>
        <v>89915.966386554632</v>
      </c>
      <c r="AA67" s="233"/>
      <c r="AB67" s="233"/>
    </row>
    <row r="68" spans="1:28" s="138" customFormat="1" ht="27.75" customHeight="1" x14ac:dyDescent="0.15">
      <c r="A68" s="198">
        <v>58</v>
      </c>
      <c r="B68" s="148" t="s">
        <v>198</v>
      </c>
      <c r="C68" s="148" t="s">
        <v>199</v>
      </c>
      <c r="D68" s="149" t="s">
        <v>22</v>
      </c>
      <c r="E68" s="198">
        <v>7</v>
      </c>
      <c r="F68" s="147" t="s">
        <v>23</v>
      </c>
      <c r="G68" s="239">
        <v>120114</v>
      </c>
      <c r="H68" s="239">
        <f t="shared" si="56"/>
        <v>840798</v>
      </c>
      <c r="I68" s="239">
        <f>254700/1.19</f>
        <v>214033.61344537817</v>
      </c>
      <c r="J68" s="249">
        <f>+I68*E68</f>
        <v>1498235.2941176472</v>
      </c>
      <c r="K68" s="252">
        <f>106125/1.19</f>
        <v>89180.672268907569</v>
      </c>
      <c r="L68" s="239">
        <f t="shared" si="58"/>
        <v>624264.70588235301</v>
      </c>
      <c r="M68" s="252">
        <f>95517.3333333333/1.19</f>
        <v>80266.666666666642</v>
      </c>
      <c r="N68" s="239">
        <f>+M68*E68</f>
        <v>561866.66666666651</v>
      </c>
      <c r="O68" s="239"/>
      <c r="P68" s="249"/>
      <c r="Q68" s="252">
        <f>95100/1.19</f>
        <v>79915.966386554632</v>
      </c>
      <c r="R68" s="239">
        <f t="shared" si="59"/>
        <v>559411.76470588241</v>
      </c>
      <c r="S68" s="252"/>
      <c r="T68" s="239"/>
      <c r="U68" s="239">
        <f t="shared" si="60"/>
        <v>894788.88888888888</v>
      </c>
      <c r="V68" s="239">
        <f t="shared" si="61"/>
        <v>561866.66666666651</v>
      </c>
      <c r="W68" s="239">
        <f t="shared" si="62"/>
        <v>624264.70588235301</v>
      </c>
      <c r="X68" s="240">
        <f t="shared" si="63"/>
        <v>806976.13453642966</v>
      </c>
      <c r="Y68" s="281">
        <f t="shared" si="64"/>
        <v>559411.76470588241</v>
      </c>
      <c r="Z68" s="255">
        <f>Y68</f>
        <v>559411.76470588241</v>
      </c>
      <c r="AA68" s="233"/>
      <c r="AB68" s="233"/>
    </row>
    <row r="69" spans="1:28" s="269" customFormat="1" ht="27.75" customHeight="1" x14ac:dyDescent="0.15">
      <c r="A69" s="304" t="s">
        <v>348</v>
      </c>
      <c r="B69" s="305"/>
      <c r="C69" s="305"/>
      <c r="D69" s="305"/>
      <c r="E69" s="306"/>
      <c r="F69" s="264"/>
      <c r="G69" s="265">
        <f t="shared" ref="G69:V69" si="65">SUM(G70:G70)</f>
        <v>100000</v>
      </c>
      <c r="H69" s="265">
        <f t="shared" si="65"/>
        <v>100000</v>
      </c>
      <c r="I69" s="265">
        <f t="shared" si="65"/>
        <v>189390.75630252101</v>
      </c>
      <c r="J69" s="265">
        <f t="shared" si="65"/>
        <v>189390.75630252101</v>
      </c>
      <c r="K69" s="265">
        <f t="shared" si="65"/>
        <v>31512.605042016807</v>
      </c>
      <c r="L69" s="265">
        <f t="shared" si="65"/>
        <v>31512.605042016807</v>
      </c>
      <c r="M69" s="265">
        <f t="shared" si="65"/>
        <v>0</v>
      </c>
      <c r="N69" s="265">
        <f t="shared" si="65"/>
        <v>0</v>
      </c>
      <c r="O69" s="265">
        <f t="shared" si="65"/>
        <v>0</v>
      </c>
      <c r="P69" s="265">
        <f t="shared" si="65"/>
        <v>0</v>
      </c>
      <c r="Q69" s="265">
        <f t="shared" si="65"/>
        <v>28235.294117647059</v>
      </c>
      <c r="R69" s="265">
        <f t="shared" si="65"/>
        <v>28235.294117647059</v>
      </c>
      <c r="S69" s="265">
        <f t="shared" si="65"/>
        <v>0</v>
      </c>
      <c r="T69" s="265">
        <f t="shared" si="65"/>
        <v>0</v>
      </c>
      <c r="U69" s="265">
        <f t="shared" si="65"/>
        <v>110451.68067226891</v>
      </c>
      <c r="V69" s="265">
        <f t="shared" si="65"/>
        <v>31512.605042016807</v>
      </c>
      <c r="W69" s="265">
        <f>SUM(W70:W70)</f>
        <v>110451.68067226891</v>
      </c>
      <c r="X69" s="266">
        <f>SUM(X70:X70)</f>
        <v>77254.100874776865</v>
      </c>
      <c r="Y69" s="266">
        <f t="shared" ref="Y69:Z69" si="66">SUM(Y70:Y70)</f>
        <v>28235.294117647059</v>
      </c>
      <c r="Z69" s="266">
        <f t="shared" si="66"/>
        <v>77254.100874776865</v>
      </c>
      <c r="AA69" s="268">
        <v>100000</v>
      </c>
      <c r="AB69" s="268">
        <f>+AA69-Z69</f>
        <v>22745.899125223135</v>
      </c>
    </row>
    <row r="70" spans="1:28" s="138" customFormat="1" ht="27.75" customHeight="1" x14ac:dyDescent="0.15">
      <c r="A70" s="198">
        <v>59</v>
      </c>
      <c r="B70" s="148" t="s">
        <v>203</v>
      </c>
      <c r="C70" s="148" t="s">
        <v>204</v>
      </c>
      <c r="D70" s="149" t="s">
        <v>22</v>
      </c>
      <c r="E70" s="198">
        <v>1</v>
      </c>
      <c r="F70" s="147" t="s">
        <v>23</v>
      </c>
      <c r="G70" s="239">
        <v>100000</v>
      </c>
      <c r="H70" s="239">
        <f t="shared" si="35"/>
        <v>100000</v>
      </c>
      <c r="I70" s="239">
        <f>225375/1.19</f>
        <v>189390.75630252101</v>
      </c>
      <c r="J70" s="249">
        <f t="shared" ref="J70" si="67">+I70*E70</f>
        <v>189390.75630252101</v>
      </c>
      <c r="K70" s="252">
        <f>37500/1.19</f>
        <v>31512.605042016807</v>
      </c>
      <c r="L70" s="239">
        <f t="shared" ref="L70" si="68">+K70*E70</f>
        <v>31512.605042016807</v>
      </c>
      <c r="M70" s="252"/>
      <c r="N70" s="239"/>
      <c r="O70" s="239"/>
      <c r="P70" s="249"/>
      <c r="Q70" s="252">
        <f>33600/1.19</f>
        <v>28235.294117647059</v>
      </c>
      <c r="R70" s="239">
        <f t="shared" ref="R70:R80" si="69">Q70*E70</f>
        <v>28235.294117647059</v>
      </c>
      <c r="S70" s="252"/>
      <c r="T70" s="239"/>
      <c r="U70" s="239">
        <f>AVERAGE(J70,L70,N70)</f>
        <v>110451.68067226891</v>
      </c>
      <c r="V70" s="239">
        <f>+MIN(J70,L70,N70)</f>
        <v>31512.605042016807</v>
      </c>
      <c r="W70" s="239">
        <f>MEDIAN(J70,L70,N70)</f>
        <v>110451.68067226891</v>
      </c>
      <c r="X70" s="240">
        <f>GEOMEAN(J70,L70,N70)</f>
        <v>77254.100874776865</v>
      </c>
      <c r="Y70" s="281">
        <f>AVERAGE(P70,R70,T70)</f>
        <v>28235.294117647059</v>
      </c>
      <c r="Z70" s="255">
        <f>X70</f>
        <v>77254.100874776865</v>
      </c>
      <c r="AA70" s="233"/>
      <c r="AB70" s="233"/>
    </row>
    <row r="71" spans="1:28" s="269" customFormat="1" ht="27.75" customHeight="1" x14ac:dyDescent="0.15">
      <c r="A71" s="304" t="s">
        <v>205</v>
      </c>
      <c r="B71" s="305"/>
      <c r="C71" s="305"/>
      <c r="D71" s="305"/>
      <c r="E71" s="306"/>
      <c r="F71" s="264"/>
      <c r="G71" s="265">
        <f t="shared" ref="G71:H71" si="70">+G72</f>
        <v>120000</v>
      </c>
      <c r="H71" s="265">
        <f t="shared" si="70"/>
        <v>120000</v>
      </c>
      <c r="I71" s="265">
        <f>+I72</f>
        <v>82941.176470588238</v>
      </c>
      <c r="J71" s="265">
        <f t="shared" ref="J71:Z71" si="71">+J72</f>
        <v>82941.176470588238</v>
      </c>
      <c r="K71" s="265">
        <f t="shared" si="71"/>
        <v>34558.823529411769</v>
      </c>
      <c r="L71" s="265">
        <f t="shared" si="71"/>
        <v>34558.823529411769</v>
      </c>
      <c r="M71" s="265">
        <f t="shared" si="71"/>
        <v>38400</v>
      </c>
      <c r="N71" s="265">
        <f t="shared" si="71"/>
        <v>38400</v>
      </c>
      <c r="O71" s="265">
        <f t="shared" si="71"/>
        <v>0</v>
      </c>
      <c r="P71" s="265">
        <f t="shared" si="71"/>
        <v>0</v>
      </c>
      <c r="Q71" s="265">
        <f t="shared" si="71"/>
        <v>31008.403361344539</v>
      </c>
      <c r="R71" s="265">
        <f t="shared" si="71"/>
        <v>31008.403361344539</v>
      </c>
      <c r="S71" s="265">
        <f t="shared" si="71"/>
        <v>0</v>
      </c>
      <c r="T71" s="265">
        <f t="shared" si="71"/>
        <v>0</v>
      </c>
      <c r="U71" s="265">
        <f t="shared" si="71"/>
        <v>51966.666666666664</v>
      </c>
      <c r="V71" s="265">
        <f t="shared" si="71"/>
        <v>34558.823529411769</v>
      </c>
      <c r="W71" s="265">
        <f t="shared" si="71"/>
        <v>38400</v>
      </c>
      <c r="X71" s="266">
        <f t="shared" si="71"/>
        <v>47924.043651416672</v>
      </c>
      <c r="Y71" s="266">
        <f t="shared" si="71"/>
        <v>31008.403361344539</v>
      </c>
      <c r="Z71" s="267">
        <f t="shared" si="71"/>
        <v>51966.666666666664</v>
      </c>
      <c r="AA71" s="268">
        <v>120000</v>
      </c>
      <c r="AB71" s="268">
        <f>+AA71-Z71</f>
        <v>68033.333333333343</v>
      </c>
    </row>
    <row r="72" spans="1:28" s="138" customFormat="1" ht="27.75" customHeight="1" x14ac:dyDescent="0.15">
      <c r="A72" s="198">
        <v>60</v>
      </c>
      <c r="B72" s="148" t="s">
        <v>312</v>
      </c>
      <c r="C72" s="148" t="s">
        <v>207</v>
      </c>
      <c r="D72" s="149" t="s">
        <v>107</v>
      </c>
      <c r="E72" s="198">
        <v>1</v>
      </c>
      <c r="F72" s="147" t="s">
        <v>23</v>
      </c>
      <c r="G72" s="239">
        <v>120000</v>
      </c>
      <c r="H72" s="239">
        <f t="shared" si="35"/>
        <v>120000</v>
      </c>
      <c r="I72" s="239">
        <f>98700/1.19</f>
        <v>82941.176470588238</v>
      </c>
      <c r="J72" s="249">
        <f t="shared" ref="J72" si="72">+I72*E72</f>
        <v>82941.176470588238</v>
      </c>
      <c r="K72" s="252">
        <f>41125/1.19</f>
        <v>34558.823529411769</v>
      </c>
      <c r="L72" s="239">
        <f>+K72*E72</f>
        <v>34558.823529411769</v>
      </c>
      <c r="M72" s="252">
        <f>45696/1.19</f>
        <v>38400</v>
      </c>
      <c r="N72" s="239">
        <f t="shared" si="38"/>
        <v>38400</v>
      </c>
      <c r="O72" s="239"/>
      <c r="P72" s="249"/>
      <c r="Q72" s="252">
        <f>36900/1.19</f>
        <v>31008.403361344539</v>
      </c>
      <c r="R72" s="239">
        <f t="shared" si="69"/>
        <v>31008.403361344539</v>
      </c>
      <c r="S72" s="252"/>
      <c r="T72" s="239"/>
      <c r="U72" s="239">
        <f>AVERAGE(J72,L72,N72)</f>
        <v>51966.666666666664</v>
      </c>
      <c r="V72" s="239">
        <f>+MIN(J72,L72,N72)</f>
        <v>34558.823529411769</v>
      </c>
      <c r="W72" s="239">
        <f>MEDIAN(J72,L72,N72)</f>
        <v>38400</v>
      </c>
      <c r="X72" s="240">
        <f>GEOMEAN(J72,L72,N72)</f>
        <v>47924.043651416672</v>
      </c>
      <c r="Y72" s="281">
        <f>AVERAGE(P72,R72,T72)</f>
        <v>31008.403361344539</v>
      </c>
      <c r="Z72" s="255">
        <f>U72</f>
        <v>51966.666666666664</v>
      </c>
      <c r="AA72" s="233"/>
      <c r="AB72" s="233"/>
    </row>
    <row r="73" spans="1:28" s="269" customFormat="1" ht="27.75" customHeight="1" x14ac:dyDescent="0.15">
      <c r="A73" s="304" t="s">
        <v>208</v>
      </c>
      <c r="B73" s="305"/>
      <c r="C73" s="305"/>
      <c r="D73" s="305"/>
      <c r="E73" s="306"/>
      <c r="F73" s="264"/>
      <c r="G73" s="265">
        <v>2100000</v>
      </c>
      <c r="H73" s="265">
        <f t="shared" ref="H73" si="73">+H74</f>
        <v>2099999.997</v>
      </c>
      <c r="I73" s="265">
        <f>+I74</f>
        <v>854621.84873949585</v>
      </c>
      <c r="J73" s="265">
        <f t="shared" ref="J73:Z73" si="74">+J74</f>
        <v>7691596.6386554623</v>
      </c>
      <c r="K73" s="265">
        <f t="shared" si="74"/>
        <v>52415.966386554624</v>
      </c>
      <c r="L73" s="265">
        <f t="shared" si="74"/>
        <v>471743.69747899164</v>
      </c>
      <c r="M73" s="265">
        <f t="shared" si="74"/>
        <v>132666.6666666664</v>
      </c>
      <c r="N73" s="265">
        <f t="shared" si="74"/>
        <v>1193999.9999999977</v>
      </c>
      <c r="O73" s="265">
        <f t="shared" si="74"/>
        <v>0</v>
      </c>
      <c r="P73" s="265">
        <f t="shared" si="74"/>
        <v>0</v>
      </c>
      <c r="Q73" s="265">
        <f t="shared" si="74"/>
        <v>150588.23529411765</v>
      </c>
      <c r="R73" s="265">
        <f t="shared" si="74"/>
        <v>1355294.1176470588</v>
      </c>
      <c r="S73" s="265">
        <f t="shared" si="74"/>
        <v>0</v>
      </c>
      <c r="T73" s="265">
        <f t="shared" si="74"/>
        <v>0</v>
      </c>
      <c r="U73" s="265">
        <f t="shared" si="74"/>
        <v>3119113.4453781508</v>
      </c>
      <c r="V73" s="265">
        <f t="shared" si="74"/>
        <v>471743.69747899164</v>
      </c>
      <c r="W73" s="265">
        <f t="shared" si="74"/>
        <v>1193999.9999999977</v>
      </c>
      <c r="X73" s="266">
        <f t="shared" si="74"/>
        <v>1630205.3402816367</v>
      </c>
      <c r="Y73" s="266">
        <f t="shared" si="74"/>
        <v>1355294.1176470588</v>
      </c>
      <c r="Z73" s="267">
        <f t="shared" si="74"/>
        <v>1355294.1176470588</v>
      </c>
      <c r="AA73" s="268">
        <v>2100000</v>
      </c>
      <c r="AB73" s="268">
        <f>+AA73-Z73</f>
        <v>744705.8823529412</v>
      </c>
    </row>
    <row r="74" spans="1:28" s="138" customFormat="1" ht="27.75" customHeight="1" x14ac:dyDescent="0.15">
      <c r="A74" s="198">
        <v>61</v>
      </c>
      <c r="B74" s="148" t="s">
        <v>209</v>
      </c>
      <c r="C74" s="148" t="s">
        <v>210</v>
      </c>
      <c r="D74" s="149" t="s">
        <v>22</v>
      </c>
      <c r="E74" s="198">
        <v>9</v>
      </c>
      <c r="F74" s="147" t="s">
        <v>23</v>
      </c>
      <c r="G74" s="239">
        <v>233333.33300000001</v>
      </c>
      <c r="H74" s="239">
        <f t="shared" si="35"/>
        <v>2099999.997</v>
      </c>
      <c r="I74" s="239">
        <f>1017000/1.19</f>
        <v>854621.84873949585</v>
      </c>
      <c r="J74" s="249">
        <f t="shared" ref="J74" si="75">+I74*E74</f>
        <v>7691596.6386554623</v>
      </c>
      <c r="K74" s="252">
        <f>62375/1.19</f>
        <v>52415.966386554624</v>
      </c>
      <c r="L74" s="239">
        <f>+K74*E74</f>
        <v>471743.69747899164</v>
      </c>
      <c r="M74" s="252">
        <f>157873.333333333/1.19</f>
        <v>132666.6666666664</v>
      </c>
      <c r="N74" s="239">
        <f t="shared" si="38"/>
        <v>1193999.9999999977</v>
      </c>
      <c r="O74" s="239"/>
      <c r="P74" s="249"/>
      <c r="Q74" s="252">
        <f>179200/1.19</f>
        <v>150588.23529411765</v>
      </c>
      <c r="R74" s="239">
        <f t="shared" si="69"/>
        <v>1355294.1176470588</v>
      </c>
      <c r="S74" s="252"/>
      <c r="T74" s="239"/>
      <c r="U74" s="239">
        <f>AVERAGE(J74,L74,N74)</f>
        <v>3119113.4453781508</v>
      </c>
      <c r="V74" s="239">
        <f>+MIN(J74,L74,N74)</f>
        <v>471743.69747899164</v>
      </c>
      <c r="W74" s="239">
        <f>MEDIAN(J74,L74,N74)</f>
        <v>1193999.9999999977</v>
      </c>
      <c r="X74" s="240">
        <f>GEOMEAN(J74,L74,N74)</f>
        <v>1630205.3402816367</v>
      </c>
      <c r="Y74" s="281">
        <f>AVERAGE(P74,R74,T74)</f>
        <v>1355294.1176470588</v>
      </c>
      <c r="Z74" s="255">
        <f>Y74</f>
        <v>1355294.1176470588</v>
      </c>
      <c r="AA74" s="233"/>
      <c r="AB74" s="233"/>
    </row>
    <row r="75" spans="1:28" s="269" customFormat="1" ht="52.5" customHeight="1" x14ac:dyDescent="0.15">
      <c r="A75" s="304" t="s">
        <v>211</v>
      </c>
      <c r="B75" s="305"/>
      <c r="C75" s="305"/>
      <c r="D75" s="305"/>
      <c r="E75" s="306"/>
      <c r="F75" s="264"/>
      <c r="G75" s="265">
        <f t="shared" ref="G75:Z75" si="76">SUM(G76:G80)</f>
        <v>840000</v>
      </c>
      <c r="H75" s="265">
        <f t="shared" si="76"/>
        <v>1150000</v>
      </c>
      <c r="I75" s="265">
        <f t="shared" si="76"/>
        <v>2070252.1008403359</v>
      </c>
      <c r="J75" s="265">
        <f t="shared" si="76"/>
        <v>3843781.5126050422</v>
      </c>
      <c r="K75" s="265">
        <f t="shared" si="76"/>
        <v>439495.79831932776</v>
      </c>
      <c r="L75" s="265">
        <f t="shared" si="76"/>
        <v>633613.44537815126</v>
      </c>
      <c r="M75" s="265">
        <f t="shared" si="76"/>
        <v>311600.00000000029</v>
      </c>
      <c r="N75" s="265">
        <f t="shared" si="76"/>
        <v>441600.00000000023</v>
      </c>
      <c r="O75" s="265">
        <f t="shared" si="76"/>
        <v>0</v>
      </c>
      <c r="P75" s="265">
        <f t="shared" si="76"/>
        <v>0</v>
      </c>
      <c r="Q75" s="265">
        <f t="shared" si="76"/>
        <v>674705.8823529412</v>
      </c>
      <c r="R75" s="265">
        <f t="shared" si="76"/>
        <v>853193.27731092437</v>
      </c>
      <c r="S75" s="265">
        <f t="shared" si="76"/>
        <v>0</v>
      </c>
      <c r="T75" s="265">
        <f t="shared" si="76"/>
        <v>0</v>
      </c>
      <c r="U75" s="265">
        <f t="shared" si="76"/>
        <v>1744059.2436974791</v>
      </c>
      <c r="V75" s="265">
        <f t="shared" si="76"/>
        <v>537892.15686274495</v>
      </c>
      <c r="W75" s="265">
        <f t="shared" si="76"/>
        <v>850504.06162465026</v>
      </c>
      <c r="X75" s="266">
        <f t="shared" si="76"/>
        <v>1107199.5243826234</v>
      </c>
      <c r="Y75" s="266">
        <f t="shared" si="76"/>
        <v>853193.27731092437</v>
      </c>
      <c r="Z75" s="266">
        <f t="shared" si="76"/>
        <v>921829.21547263663</v>
      </c>
      <c r="AA75" s="268">
        <v>1150000</v>
      </c>
      <c r="AB75" s="268">
        <f>+AA75-Z75</f>
        <v>228170.78452736337</v>
      </c>
    </row>
    <row r="76" spans="1:28" s="138" customFormat="1" ht="27.75" customHeight="1" x14ac:dyDescent="0.15">
      <c r="A76" s="198">
        <v>62</v>
      </c>
      <c r="B76" s="148" t="s">
        <v>212</v>
      </c>
      <c r="C76" s="148" t="s">
        <v>213</v>
      </c>
      <c r="D76" s="149" t="s">
        <v>22</v>
      </c>
      <c r="E76" s="198">
        <v>1</v>
      </c>
      <c r="F76" s="147" t="s">
        <v>23</v>
      </c>
      <c r="G76" s="239">
        <v>159000</v>
      </c>
      <c r="H76" s="239">
        <f t="shared" si="35"/>
        <v>159000</v>
      </c>
      <c r="I76" s="239">
        <f>218700/1.19</f>
        <v>183781.51260504202</v>
      </c>
      <c r="J76" s="249">
        <f t="shared" ref="J76:J80" si="77">+I76*E76</f>
        <v>183781.51260504202</v>
      </c>
      <c r="K76" s="252">
        <f>91125/1.19</f>
        <v>76575.630252100847</v>
      </c>
      <c r="L76" s="239">
        <f t="shared" ref="L76:L80" si="78">+K76*E76</f>
        <v>76575.630252100847</v>
      </c>
      <c r="M76" s="252">
        <f>95517.3333333333/1.19</f>
        <v>80266.666666666642</v>
      </c>
      <c r="N76" s="239">
        <f t="shared" si="38"/>
        <v>80266.666666666642</v>
      </c>
      <c r="O76" s="239"/>
      <c r="P76" s="249"/>
      <c r="Q76" s="252">
        <f>162300/1.19</f>
        <v>136386.55462184874</v>
      </c>
      <c r="R76" s="239">
        <f t="shared" si="69"/>
        <v>136386.55462184874</v>
      </c>
      <c r="S76" s="252"/>
      <c r="T76" s="239"/>
      <c r="U76" s="239">
        <f t="shared" ref="U76:U80" si="79">AVERAGE(J76,L76,N76)</f>
        <v>113541.26984126984</v>
      </c>
      <c r="V76" s="239">
        <f t="shared" ref="V76:V80" si="80">+MIN(J76,L76,N76)</f>
        <v>76575.630252100847</v>
      </c>
      <c r="W76" s="239">
        <f t="shared" ref="W76:W80" si="81">MEDIAN(J76,L76,N76)</f>
        <v>80266.666666666642</v>
      </c>
      <c r="X76" s="240">
        <f t="shared" ref="X76:X80" si="82">GEOMEAN(J76,L76,N76)</f>
        <v>104145.98771278051</v>
      </c>
      <c r="Y76" s="281">
        <f t="shared" ref="Y76:Y80" si="83">AVERAGE(P76,R76,T76)</f>
        <v>136386.55462184874</v>
      </c>
      <c r="Z76" s="255">
        <f>U76</f>
        <v>113541.26984126984</v>
      </c>
      <c r="AA76" s="233"/>
      <c r="AB76" s="233"/>
    </row>
    <row r="77" spans="1:28" s="138" customFormat="1" ht="27.75" customHeight="1" x14ac:dyDescent="0.15">
      <c r="A77" s="198">
        <v>63</v>
      </c>
      <c r="B77" s="148" t="s">
        <v>214</v>
      </c>
      <c r="C77" s="148" t="s">
        <v>215</v>
      </c>
      <c r="D77" s="149" t="s">
        <v>22</v>
      </c>
      <c r="E77" s="198">
        <v>5</v>
      </c>
      <c r="F77" s="147" t="s">
        <v>23</v>
      </c>
      <c r="G77" s="239">
        <v>39000</v>
      </c>
      <c r="H77" s="239">
        <f t="shared" si="35"/>
        <v>195000</v>
      </c>
      <c r="I77" s="239">
        <f>473700/1.19</f>
        <v>398067.22689075634</v>
      </c>
      <c r="J77" s="249">
        <f t="shared" si="77"/>
        <v>1990336.1344537816</v>
      </c>
      <c r="K77" s="252">
        <f>47375/1.19</f>
        <v>39810.924369747903</v>
      </c>
      <c r="L77" s="239">
        <f t="shared" si="78"/>
        <v>199054.62184873951</v>
      </c>
      <c r="M77" s="252">
        <f>24593.3333333333/1.19</f>
        <v>20666.666666666639</v>
      </c>
      <c r="N77" s="239">
        <f t="shared" si="38"/>
        <v>103333.3333333332</v>
      </c>
      <c r="O77" s="239"/>
      <c r="P77" s="249"/>
      <c r="Q77" s="252">
        <f>38000/1.19</f>
        <v>31932.773109243699</v>
      </c>
      <c r="R77" s="239">
        <f t="shared" si="69"/>
        <v>159663.8655462185</v>
      </c>
      <c r="S77" s="252"/>
      <c r="T77" s="239"/>
      <c r="U77" s="239">
        <f t="shared" si="79"/>
        <v>764241.36321195133</v>
      </c>
      <c r="V77" s="239">
        <f t="shared" si="80"/>
        <v>103333.3333333332</v>
      </c>
      <c r="W77" s="239">
        <f t="shared" si="81"/>
        <v>199054.62184873951</v>
      </c>
      <c r="X77" s="240">
        <f t="shared" si="82"/>
        <v>344651.13329949125</v>
      </c>
      <c r="Y77" s="281">
        <f t="shared" si="83"/>
        <v>159663.8655462185</v>
      </c>
      <c r="Z77" s="255">
        <f>W77</f>
        <v>199054.62184873951</v>
      </c>
      <c r="AA77" s="233"/>
      <c r="AB77" s="233"/>
    </row>
    <row r="78" spans="1:28" s="138" customFormat="1" ht="27.75" customHeight="1" x14ac:dyDescent="0.15">
      <c r="A78" s="198">
        <v>64</v>
      </c>
      <c r="B78" s="148" t="s">
        <v>352</v>
      </c>
      <c r="C78" s="148" t="s">
        <v>217</v>
      </c>
      <c r="D78" s="149" t="s">
        <v>107</v>
      </c>
      <c r="E78" s="198">
        <v>1</v>
      </c>
      <c r="F78" s="147" t="s">
        <v>23</v>
      </c>
      <c r="G78" s="239">
        <v>236000</v>
      </c>
      <c r="H78" s="239">
        <f t="shared" si="35"/>
        <v>236000</v>
      </c>
      <c r="I78" s="239">
        <f>1050000/1.19</f>
        <v>882352.9411764706</v>
      </c>
      <c r="J78" s="249">
        <f>+I78*E78</f>
        <v>882352.9411764706</v>
      </c>
      <c r="K78" s="252">
        <f>103125/1.19</f>
        <v>86659.663865546216</v>
      </c>
      <c r="L78" s="239">
        <f t="shared" si="78"/>
        <v>86659.663865546216</v>
      </c>
      <c r="M78" s="252">
        <f>194366.666666667/1.19</f>
        <v>163333.33333333363</v>
      </c>
      <c r="N78" s="239">
        <f t="shared" si="38"/>
        <v>163333.33333333363</v>
      </c>
      <c r="O78" s="239"/>
      <c r="P78" s="249"/>
      <c r="Q78" s="252">
        <f>283400/1.19</f>
        <v>238151.26050420169</v>
      </c>
      <c r="R78" s="239">
        <f t="shared" si="69"/>
        <v>238151.26050420169</v>
      </c>
      <c r="S78" s="252"/>
      <c r="T78" s="239"/>
      <c r="U78" s="239">
        <f t="shared" si="79"/>
        <v>377448.64612511685</v>
      </c>
      <c r="V78" s="239">
        <f t="shared" si="80"/>
        <v>86659.663865546216</v>
      </c>
      <c r="W78" s="239">
        <f t="shared" si="81"/>
        <v>163333.33333333363</v>
      </c>
      <c r="X78" s="240">
        <f t="shared" si="82"/>
        <v>232012.50212062919</v>
      </c>
      <c r="Y78" s="281">
        <f t="shared" si="83"/>
        <v>238151.26050420169</v>
      </c>
      <c r="Z78" s="255">
        <f>X78</f>
        <v>232012.50212062919</v>
      </c>
      <c r="AA78" s="233"/>
      <c r="AB78" s="233"/>
    </row>
    <row r="79" spans="1:28" s="138" customFormat="1" ht="27.75" customHeight="1" x14ac:dyDescent="0.15">
      <c r="A79" s="198">
        <v>65</v>
      </c>
      <c r="B79" s="148" t="s">
        <v>353</v>
      </c>
      <c r="C79" s="148" t="s">
        <v>219</v>
      </c>
      <c r="D79" s="149" t="s">
        <v>107</v>
      </c>
      <c r="E79" s="198">
        <v>1</v>
      </c>
      <c r="F79" s="147" t="s">
        <v>23</v>
      </c>
      <c r="G79" s="239">
        <v>252000</v>
      </c>
      <c r="H79" s="239">
        <f t="shared" si="35"/>
        <v>252000</v>
      </c>
      <c r="I79" s="239">
        <f>505500/1.19</f>
        <v>424789.91596638656</v>
      </c>
      <c r="J79" s="249">
        <f t="shared" si="77"/>
        <v>424789.91596638656</v>
      </c>
      <c r="K79" s="252">
        <f>239875/1.19</f>
        <v>201575.63025210085</v>
      </c>
      <c r="L79" s="239">
        <f t="shared" si="78"/>
        <v>201575.63025210085</v>
      </c>
      <c r="M79" s="252"/>
      <c r="N79" s="239"/>
      <c r="O79" s="239"/>
      <c r="P79" s="249"/>
      <c r="Q79" s="252">
        <f>258800/1.19</f>
        <v>217478.99159663866</v>
      </c>
      <c r="R79" s="239">
        <f t="shared" si="69"/>
        <v>217478.99159663866</v>
      </c>
      <c r="S79" s="252"/>
      <c r="T79" s="239"/>
      <c r="U79" s="239">
        <f t="shared" si="79"/>
        <v>313182.77310924372</v>
      </c>
      <c r="V79" s="239">
        <f t="shared" si="80"/>
        <v>201575.63025210085</v>
      </c>
      <c r="W79" s="239">
        <f t="shared" si="81"/>
        <v>313182.77310924372</v>
      </c>
      <c r="X79" s="240">
        <f t="shared" si="82"/>
        <v>292621.41930429725</v>
      </c>
      <c r="Y79" s="281">
        <f t="shared" si="83"/>
        <v>217478.99159663866</v>
      </c>
      <c r="Z79" s="255">
        <f>V79</f>
        <v>201575.63025210085</v>
      </c>
      <c r="AA79" s="233"/>
      <c r="AB79" s="233"/>
    </row>
    <row r="80" spans="1:28" s="138" customFormat="1" ht="27.75" customHeight="1" x14ac:dyDescent="0.15">
      <c r="A80" s="198">
        <v>66</v>
      </c>
      <c r="B80" s="148" t="s">
        <v>220</v>
      </c>
      <c r="C80" s="147" t="s">
        <v>221</v>
      </c>
      <c r="D80" s="149" t="s">
        <v>22</v>
      </c>
      <c r="E80" s="198">
        <v>2</v>
      </c>
      <c r="F80" s="147" t="s">
        <v>23</v>
      </c>
      <c r="G80" s="239">
        <v>154000</v>
      </c>
      <c r="H80" s="273">
        <f t="shared" si="35"/>
        <v>308000</v>
      </c>
      <c r="I80" s="273">
        <f>215700/1.19</f>
        <v>181260.50420168068</v>
      </c>
      <c r="J80" s="274">
        <f t="shared" si="77"/>
        <v>362521.00840336137</v>
      </c>
      <c r="K80" s="275">
        <f>41500/1.19</f>
        <v>34873.949579831933</v>
      </c>
      <c r="L80" s="273">
        <f t="shared" si="78"/>
        <v>69747.899159663866</v>
      </c>
      <c r="M80" s="275">
        <f>56326.6666666667/1.19</f>
        <v>47333.333333333365</v>
      </c>
      <c r="N80" s="273">
        <f t="shared" si="38"/>
        <v>94666.66666666673</v>
      </c>
      <c r="O80" s="273"/>
      <c r="P80" s="274"/>
      <c r="Q80" s="275">
        <f>60400/1.19</f>
        <v>50756.302521008409</v>
      </c>
      <c r="R80" s="273">
        <f t="shared" si="69"/>
        <v>101512.60504201682</v>
      </c>
      <c r="S80" s="275"/>
      <c r="T80" s="273"/>
      <c r="U80" s="239">
        <f t="shared" si="79"/>
        <v>175645.19140989732</v>
      </c>
      <c r="V80" s="239">
        <f t="shared" si="80"/>
        <v>69747.899159663866</v>
      </c>
      <c r="W80" s="239">
        <f t="shared" si="81"/>
        <v>94666.66666666673</v>
      </c>
      <c r="X80" s="240">
        <f t="shared" si="82"/>
        <v>133768.48194542533</v>
      </c>
      <c r="Y80" s="281">
        <f t="shared" si="83"/>
        <v>101512.60504201682</v>
      </c>
      <c r="Z80" s="276">
        <f>U80</f>
        <v>175645.19140989732</v>
      </c>
      <c r="AA80" s="233"/>
      <c r="AB80" s="233"/>
    </row>
    <row r="81" spans="1:29" ht="27.75" customHeight="1" x14ac:dyDescent="0.15">
      <c r="A81" s="307" t="s">
        <v>339</v>
      </c>
      <c r="B81" s="307"/>
      <c r="C81" s="307"/>
      <c r="D81" s="307"/>
      <c r="E81" s="307"/>
      <c r="F81" s="307"/>
      <c r="G81" s="307"/>
      <c r="H81" s="257">
        <f>H3+H5+H8+H11+H47+H50+H52+H56+H69+H71+H73+H75</f>
        <v>83292927.996999994</v>
      </c>
      <c r="I81" s="257">
        <f>+I3+I5+I8+I11+I47+I50+I52+I56+I69+I71+I73+I75</f>
        <v>62162085.226890765</v>
      </c>
      <c r="J81" s="257">
        <f t="shared" ref="J81:Y81" si="84">J3+J5+J8+J11+J47+J50+J52+J56+J69+J71+J73+J75</f>
        <v>130981220.31932779</v>
      </c>
      <c r="K81" s="257">
        <f t="shared" si="84"/>
        <v>186720728.83679792</v>
      </c>
      <c r="L81" s="257">
        <f t="shared" si="84"/>
        <v>374824875.68553734</v>
      </c>
      <c r="M81" s="257">
        <f t="shared" si="84"/>
        <v>10146542.580364142</v>
      </c>
      <c r="N81" s="257">
        <f t="shared" si="84"/>
        <v>23828042.24302521</v>
      </c>
      <c r="O81" s="257">
        <f t="shared" si="84"/>
        <v>0</v>
      </c>
      <c r="P81" s="257">
        <f t="shared" si="84"/>
        <v>0</v>
      </c>
      <c r="Q81" s="257">
        <f t="shared" si="84"/>
        <v>34065078.15126051</v>
      </c>
      <c r="R81" s="257">
        <f t="shared" si="84"/>
        <v>63340376.47058823</v>
      </c>
      <c r="S81" s="257">
        <f t="shared" si="84"/>
        <v>0</v>
      </c>
      <c r="T81" s="257">
        <f t="shared" si="84"/>
        <v>0</v>
      </c>
      <c r="U81" s="257">
        <f t="shared" si="84"/>
        <v>240728184.24310479</v>
      </c>
      <c r="V81" s="257">
        <f t="shared" si="84"/>
        <v>32933643.794108801</v>
      </c>
      <c r="W81" s="257">
        <f t="shared" si="84"/>
        <v>223992559.49823087</v>
      </c>
      <c r="X81" s="257">
        <f t="shared" si="84"/>
        <v>66101093.142043807</v>
      </c>
      <c r="Y81" s="280">
        <f t="shared" si="84"/>
        <v>63340376.47058823</v>
      </c>
      <c r="Z81" s="257">
        <f>Z3+Z5+Z8+Z11+Z47+Z50+Z52+Z56+Z69+Z71+Z73+Z75</f>
        <v>59145044.027223602</v>
      </c>
      <c r="AA81" s="195">
        <f t="shared" ref="AA81:AC81" si="85">AA3+AA5+AA8+AA11+AA47+AA50+AA52+AA56+AA69+AA71+AA73+AA75</f>
        <v>83292928</v>
      </c>
      <c r="AB81" s="195">
        <f t="shared" si="85"/>
        <v>24147883.972776402</v>
      </c>
      <c r="AC81" s="195">
        <f t="shared" si="85"/>
        <v>0</v>
      </c>
    </row>
    <row r="82" spans="1:29" ht="27.75" customHeight="1" x14ac:dyDescent="0.15">
      <c r="H82" s="244">
        <v>83292928</v>
      </c>
      <c r="I82" s="244">
        <f>+I81+'LOTE 1'!I39</f>
        <v>119450457.49488033</v>
      </c>
      <c r="K82" s="244">
        <f>+K81+'LOTE 1'!K39</f>
        <v>201293236.45777735</v>
      </c>
      <c r="M82" s="258">
        <f>+M81+'LOTE 1'!M39</f>
        <v>17202077.053753495</v>
      </c>
      <c r="Y82" s="259"/>
      <c r="AA82" s="231">
        <v>83292928</v>
      </c>
    </row>
    <row r="83" spans="1:29" ht="27.75" customHeight="1" x14ac:dyDescent="0.15">
      <c r="H83" s="244">
        <f>H81-H82</f>
        <v>-3.0000060796737671E-3</v>
      </c>
      <c r="K83" s="244">
        <v>239646338</v>
      </c>
      <c r="AA83" s="231">
        <f>+AA82-AA81</f>
        <v>0</v>
      </c>
    </row>
    <row r="84" spans="1:29" ht="27.75" customHeight="1" x14ac:dyDescent="0.15">
      <c r="K84" s="244">
        <f>+K83-K82</f>
        <v>38353101.542222649</v>
      </c>
    </row>
    <row r="1048545" spans="8:8" ht="27.75" customHeight="1" x14ac:dyDescent="0.15">
      <c r="H1048545" s="242">
        <f t="shared" ref="H1048545" si="86">G1048545*E1048545</f>
        <v>0</v>
      </c>
    </row>
  </sheetData>
  <sortState ref="A57:AA68">
    <sortCondition ref="B57:B68"/>
  </sortState>
  <mergeCells count="33">
    <mergeCell ref="A71:E71"/>
    <mergeCell ref="M1:N1"/>
    <mergeCell ref="I1:J1"/>
    <mergeCell ref="A81:G81"/>
    <mergeCell ref="K1:L1"/>
    <mergeCell ref="D1:D2"/>
    <mergeCell ref="E1:E2"/>
    <mergeCell ref="B1:B2"/>
    <mergeCell ref="A56:E56"/>
    <mergeCell ref="F1:F2"/>
    <mergeCell ref="A1:A2"/>
    <mergeCell ref="A50:E50"/>
    <mergeCell ref="A11:E11"/>
    <mergeCell ref="A47:E47"/>
    <mergeCell ref="A75:E75"/>
    <mergeCell ref="A52:E52"/>
    <mergeCell ref="A69:E69"/>
    <mergeCell ref="C1:C2"/>
    <mergeCell ref="A73:E73"/>
    <mergeCell ref="Y1:Y2"/>
    <mergeCell ref="Z1:Z2"/>
    <mergeCell ref="A3:E3"/>
    <mergeCell ref="A5:E5"/>
    <mergeCell ref="A8:E8"/>
    <mergeCell ref="Q1:R1"/>
    <mergeCell ref="S1:T1"/>
    <mergeCell ref="U1:U2"/>
    <mergeCell ref="V1:V2"/>
    <mergeCell ref="W1:W2"/>
    <mergeCell ref="X1:X2"/>
    <mergeCell ref="G1:G2"/>
    <mergeCell ref="H1:H2"/>
    <mergeCell ref="O1:P1"/>
  </mergeCells>
  <pageMargins left="0.7" right="0.7" top="0.75" bottom="0.75" header="0.3" footer="0.3"/>
  <pageSetup scale="29" orientation="portrait" r:id="rId1"/>
  <colBreaks count="1" manualBreakCount="1">
    <brk id="20" max="1048575" man="1"/>
  </col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18:D20"/>
  <sheetViews>
    <sheetView workbookViewId="0">
      <selection activeCell="D13" sqref="D13:D24"/>
    </sheetView>
  </sheetViews>
  <sheetFormatPr baseColWidth="10" defaultRowHeight="12.75" x14ac:dyDescent="0.2"/>
  <cols>
    <col min="4" max="4" width="13.7109375" bestFit="1" customWidth="1"/>
  </cols>
  <sheetData>
    <row r="18" spans="4:4" ht="15" x14ac:dyDescent="0.25">
      <c r="D18" s="283"/>
    </row>
    <row r="19" spans="4:4" ht="15" x14ac:dyDescent="0.25">
      <c r="D19" s="283"/>
    </row>
    <row r="20" spans="4:4" x14ac:dyDescent="0.2">
      <c r="D20" s="282"/>
    </row>
  </sheetData>
  <pageMargins left="0.7" right="0.7" top="0.75" bottom="0.75" header="0.3" footer="0.3"/>
  <pageSetup paperSize="9" orientation="portrait" horizontalDpi="4294967295" verticalDpi="4294967295"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94"/>
  <sheetViews>
    <sheetView topLeftCell="A74" workbookViewId="0">
      <selection activeCell="B2" sqref="B2:B93"/>
    </sheetView>
  </sheetViews>
  <sheetFormatPr baseColWidth="10" defaultRowHeight="12.75" x14ac:dyDescent="0.2"/>
  <cols>
    <col min="2" max="2" width="76.85546875" bestFit="1" customWidth="1"/>
    <col min="3" max="3" width="15" bestFit="1" customWidth="1"/>
    <col min="4" max="4" width="30.42578125" bestFit="1" customWidth="1"/>
  </cols>
  <sheetData>
    <row r="1" spans="1:9" ht="13.5" thickBot="1" x14ac:dyDescent="0.25">
      <c r="A1" s="128" t="s">
        <v>314</v>
      </c>
      <c r="B1" s="220" t="s">
        <v>315</v>
      </c>
      <c r="C1" s="129" t="s">
        <v>316</v>
      </c>
      <c r="D1" s="129" t="s">
        <v>317</v>
      </c>
      <c r="F1">
        <v>1</v>
      </c>
      <c r="G1" t="s">
        <v>222</v>
      </c>
      <c r="H1" t="s">
        <v>22</v>
      </c>
      <c r="I1">
        <v>1</v>
      </c>
    </row>
    <row r="2" spans="1:9" ht="13.5" thickBot="1" x14ac:dyDescent="0.25">
      <c r="A2" s="219">
        <v>1</v>
      </c>
      <c r="B2" s="221" t="s">
        <v>222</v>
      </c>
      <c r="C2" s="131">
        <v>1</v>
      </c>
      <c r="D2" s="131">
        <v>1</v>
      </c>
      <c r="F2">
        <v>2</v>
      </c>
      <c r="G2" t="s">
        <v>25</v>
      </c>
      <c r="H2" t="s">
        <v>22</v>
      </c>
      <c r="I2">
        <v>1</v>
      </c>
    </row>
    <row r="3" spans="1:9" ht="13.5" thickBot="1" x14ac:dyDescent="0.25">
      <c r="A3" s="219">
        <v>2</v>
      </c>
      <c r="B3" s="221" t="s">
        <v>25</v>
      </c>
      <c r="C3" s="131">
        <v>1</v>
      </c>
      <c r="D3" s="131">
        <v>1</v>
      </c>
      <c r="F3">
        <v>3</v>
      </c>
      <c r="G3" t="s">
        <v>283</v>
      </c>
      <c r="H3" t="s">
        <v>22</v>
      </c>
      <c r="I3">
        <v>1</v>
      </c>
    </row>
    <row r="4" spans="1:9" ht="13.5" thickBot="1" x14ac:dyDescent="0.25">
      <c r="A4" s="219">
        <v>3</v>
      </c>
      <c r="B4" s="221" t="s">
        <v>283</v>
      </c>
      <c r="C4" s="131">
        <v>1</v>
      </c>
      <c r="D4" s="131">
        <v>1</v>
      </c>
      <c r="F4">
        <v>4</v>
      </c>
      <c r="G4" t="s">
        <v>29</v>
      </c>
      <c r="H4" t="s">
        <v>22</v>
      </c>
      <c r="I4">
        <v>1</v>
      </c>
    </row>
    <row r="5" spans="1:9" ht="13.5" thickBot="1" x14ac:dyDescent="0.25">
      <c r="A5" s="219">
        <v>4</v>
      </c>
      <c r="B5" s="221" t="s">
        <v>29</v>
      </c>
      <c r="C5" s="131">
        <v>5</v>
      </c>
      <c r="D5" s="131">
        <v>5</v>
      </c>
      <c r="F5">
        <v>5</v>
      </c>
      <c r="G5" t="s">
        <v>32</v>
      </c>
      <c r="H5" t="s">
        <v>22</v>
      </c>
      <c r="I5">
        <v>1</v>
      </c>
    </row>
    <row r="6" spans="1:9" ht="13.5" thickBot="1" x14ac:dyDescent="0.25">
      <c r="A6" s="219">
        <v>5</v>
      </c>
      <c r="B6" s="221" t="s">
        <v>32</v>
      </c>
      <c r="C6" s="131">
        <v>1</v>
      </c>
      <c r="D6" s="131">
        <v>1</v>
      </c>
      <c r="F6">
        <v>6</v>
      </c>
      <c r="G6" t="s">
        <v>35</v>
      </c>
      <c r="H6" t="s">
        <v>22</v>
      </c>
      <c r="I6">
        <v>1</v>
      </c>
    </row>
    <row r="7" spans="1:9" ht="13.5" thickBot="1" x14ac:dyDescent="0.25">
      <c r="A7" s="219">
        <v>6</v>
      </c>
      <c r="B7" s="221" t="s">
        <v>35</v>
      </c>
      <c r="C7" s="131">
        <v>2</v>
      </c>
      <c r="D7" s="131">
        <v>2</v>
      </c>
      <c r="F7">
        <v>7</v>
      </c>
      <c r="G7" t="s">
        <v>37</v>
      </c>
      <c r="H7" t="s">
        <v>22</v>
      </c>
      <c r="I7">
        <v>1</v>
      </c>
    </row>
    <row r="8" spans="1:9" ht="13.5" thickBot="1" x14ac:dyDescent="0.25">
      <c r="A8" s="219">
        <v>7</v>
      </c>
      <c r="B8" s="221" t="s">
        <v>37</v>
      </c>
      <c r="C8" s="131">
        <v>5</v>
      </c>
      <c r="D8" s="131">
        <v>5</v>
      </c>
      <c r="F8">
        <v>8</v>
      </c>
      <c r="G8" t="s">
        <v>39</v>
      </c>
      <c r="H8" t="s">
        <v>22</v>
      </c>
      <c r="I8">
        <v>1</v>
      </c>
    </row>
    <row r="9" spans="1:9" ht="13.5" thickBot="1" x14ac:dyDescent="0.25">
      <c r="A9" s="219">
        <v>8</v>
      </c>
      <c r="B9" s="221" t="s">
        <v>39</v>
      </c>
      <c r="C9" s="131">
        <v>1</v>
      </c>
      <c r="D9" s="131">
        <v>1</v>
      </c>
      <c r="F9">
        <v>9</v>
      </c>
      <c r="G9" t="s">
        <v>41</v>
      </c>
      <c r="H9" t="s">
        <v>22</v>
      </c>
      <c r="I9">
        <v>1</v>
      </c>
    </row>
    <row r="10" spans="1:9" ht="13.5" thickBot="1" x14ac:dyDescent="0.25">
      <c r="A10" s="219">
        <v>9</v>
      </c>
      <c r="B10" s="221" t="s">
        <v>41</v>
      </c>
      <c r="C10" s="131">
        <v>2</v>
      </c>
      <c r="D10" s="131">
        <v>2</v>
      </c>
      <c r="F10">
        <v>10</v>
      </c>
      <c r="G10" t="s">
        <v>43</v>
      </c>
      <c r="H10" t="s">
        <v>22</v>
      </c>
      <c r="I10">
        <v>1</v>
      </c>
    </row>
    <row r="11" spans="1:9" ht="13.5" thickBot="1" x14ac:dyDescent="0.25">
      <c r="A11" s="219">
        <v>10</v>
      </c>
      <c r="B11" s="221" t="s">
        <v>43</v>
      </c>
      <c r="C11" s="131">
        <v>6</v>
      </c>
      <c r="D11" s="131">
        <v>2</v>
      </c>
      <c r="F11">
        <v>11</v>
      </c>
      <c r="G11" t="s">
        <v>46</v>
      </c>
      <c r="H11" t="s">
        <v>48</v>
      </c>
      <c r="I11">
        <v>1</v>
      </c>
    </row>
    <row r="12" spans="1:9" ht="13.5" thickBot="1" x14ac:dyDescent="0.25">
      <c r="A12" s="219">
        <v>11</v>
      </c>
      <c r="B12" s="221" t="s">
        <v>46</v>
      </c>
      <c r="C12" s="131">
        <v>3</v>
      </c>
      <c r="D12" s="131">
        <v>3</v>
      </c>
      <c r="F12">
        <v>12</v>
      </c>
      <c r="G12" t="s">
        <v>333</v>
      </c>
      <c r="H12" t="s">
        <v>48</v>
      </c>
      <c r="I12">
        <v>1</v>
      </c>
    </row>
    <row r="13" spans="1:9" ht="13.5" thickBot="1" x14ac:dyDescent="0.25">
      <c r="A13" s="219">
        <v>12</v>
      </c>
      <c r="B13" s="221" t="s">
        <v>333</v>
      </c>
      <c r="C13" s="131">
        <v>1</v>
      </c>
      <c r="D13" s="131">
        <v>1</v>
      </c>
      <c r="F13">
        <v>13</v>
      </c>
      <c r="G13" t="s">
        <v>51</v>
      </c>
      <c r="H13" t="s">
        <v>48</v>
      </c>
      <c r="I13">
        <v>1</v>
      </c>
    </row>
    <row r="14" spans="1:9" ht="13.5" thickBot="1" x14ac:dyDescent="0.25">
      <c r="A14" s="219">
        <v>13</v>
      </c>
      <c r="B14" s="221" t="s">
        <v>51</v>
      </c>
      <c r="C14" s="131">
        <v>3</v>
      </c>
      <c r="D14" s="131">
        <v>3</v>
      </c>
      <c r="F14">
        <v>14</v>
      </c>
      <c r="G14" t="s">
        <v>53</v>
      </c>
      <c r="H14" t="s">
        <v>48</v>
      </c>
      <c r="I14">
        <v>5</v>
      </c>
    </row>
    <row r="15" spans="1:9" ht="13.5" thickBot="1" x14ac:dyDescent="0.25">
      <c r="A15" s="219">
        <v>14</v>
      </c>
      <c r="B15" s="221" t="s">
        <v>53</v>
      </c>
      <c r="C15" s="131">
        <v>2</v>
      </c>
      <c r="D15" s="131">
        <v>2</v>
      </c>
      <c r="F15">
        <v>15</v>
      </c>
      <c r="G15" t="s">
        <v>55</v>
      </c>
      <c r="H15" t="s">
        <v>22</v>
      </c>
      <c r="I15">
        <v>1</v>
      </c>
    </row>
    <row r="16" spans="1:9" ht="13.5" thickBot="1" x14ac:dyDescent="0.25">
      <c r="A16" s="219">
        <v>15</v>
      </c>
      <c r="B16" s="221" t="s">
        <v>55</v>
      </c>
      <c r="C16" s="131">
        <v>1</v>
      </c>
      <c r="D16" s="131">
        <v>1</v>
      </c>
      <c r="F16">
        <v>16</v>
      </c>
      <c r="G16" t="s">
        <v>57</v>
      </c>
      <c r="H16" t="s">
        <v>22</v>
      </c>
      <c r="I16">
        <v>2</v>
      </c>
    </row>
    <row r="17" spans="1:9" ht="13.5" thickBot="1" x14ac:dyDescent="0.25">
      <c r="A17" s="219">
        <v>16</v>
      </c>
      <c r="B17" s="221" t="s">
        <v>57</v>
      </c>
      <c r="C17" s="131">
        <v>1</v>
      </c>
      <c r="D17" s="131">
        <v>1</v>
      </c>
      <c r="F17">
        <v>17</v>
      </c>
      <c r="G17" t="s">
        <v>59</v>
      </c>
      <c r="H17" t="s">
        <v>22</v>
      </c>
      <c r="I17">
        <v>5</v>
      </c>
    </row>
    <row r="18" spans="1:9" ht="13.5" thickBot="1" x14ac:dyDescent="0.25">
      <c r="A18" s="219">
        <v>17</v>
      </c>
      <c r="B18" s="221" t="s">
        <v>59</v>
      </c>
      <c r="C18" s="131">
        <v>1</v>
      </c>
      <c r="D18" s="131">
        <v>1</v>
      </c>
      <c r="F18">
        <v>18</v>
      </c>
      <c r="G18" t="s">
        <v>309</v>
      </c>
      <c r="H18" t="s">
        <v>22</v>
      </c>
      <c r="I18">
        <v>1</v>
      </c>
    </row>
    <row r="19" spans="1:9" ht="13.5" thickBot="1" x14ac:dyDescent="0.25">
      <c r="A19" s="219">
        <v>18</v>
      </c>
      <c r="B19" s="221" t="s">
        <v>309</v>
      </c>
      <c r="C19" s="131">
        <v>1</v>
      </c>
      <c r="D19" s="131">
        <v>1</v>
      </c>
      <c r="F19">
        <v>19</v>
      </c>
      <c r="G19" t="s">
        <v>63</v>
      </c>
      <c r="H19" t="s">
        <v>22</v>
      </c>
      <c r="I19">
        <v>2</v>
      </c>
    </row>
    <row r="20" spans="1:9" ht="13.5" thickBot="1" x14ac:dyDescent="0.25">
      <c r="A20" s="219">
        <v>19</v>
      </c>
      <c r="B20" s="221" t="s">
        <v>63</v>
      </c>
      <c r="C20" s="131">
        <v>1</v>
      </c>
      <c r="D20" s="131">
        <v>1</v>
      </c>
      <c r="F20">
        <v>20</v>
      </c>
      <c r="G20" t="s">
        <v>65</v>
      </c>
      <c r="H20" t="s">
        <v>22</v>
      </c>
      <c r="I20">
        <v>4</v>
      </c>
    </row>
    <row r="21" spans="1:9" ht="13.5" thickBot="1" x14ac:dyDescent="0.25">
      <c r="A21" s="219">
        <v>20</v>
      </c>
      <c r="B21" s="221" t="s">
        <v>65</v>
      </c>
      <c r="C21" s="131">
        <v>1</v>
      </c>
      <c r="D21" s="131">
        <v>1</v>
      </c>
      <c r="F21">
        <v>21</v>
      </c>
      <c r="G21" t="s">
        <v>266</v>
      </c>
      <c r="H21" t="s">
        <v>22</v>
      </c>
      <c r="I21">
        <v>3</v>
      </c>
    </row>
    <row r="22" spans="1:9" ht="13.5" thickBot="1" x14ac:dyDescent="0.25">
      <c r="A22" s="219">
        <v>21</v>
      </c>
      <c r="B22" s="221" t="s">
        <v>266</v>
      </c>
      <c r="C22" s="131">
        <v>1</v>
      </c>
      <c r="D22" s="131">
        <v>1</v>
      </c>
      <c r="F22">
        <v>22</v>
      </c>
      <c r="G22" t="s">
        <v>68</v>
      </c>
      <c r="H22" t="s">
        <v>22</v>
      </c>
      <c r="I22">
        <v>1</v>
      </c>
    </row>
    <row r="23" spans="1:9" ht="13.5" thickBot="1" x14ac:dyDescent="0.25">
      <c r="A23" s="219">
        <v>22</v>
      </c>
      <c r="B23" s="221" t="s">
        <v>68</v>
      </c>
      <c r="C23" s="131">
        <v>1</v>
      </c>
      <c r="D23" s="131">
        <v>1</v>
      </c>
      <c r="F23">
        <v>23</v>
      </c>
      <c r="G23" t="s">
        <v>70</v>
      </c>
      <c r="H23" t="s">
        <v>22</v>
      </c>
      <c r="I23">
        <v>3</v>
      </c>
    </row>
    <row r="24" spans="1:9" ht="13.5" thickBot="1" x14ac:dyDescent="0.25">
      <c r="A24" s="219">
        <v>23</v>
      </c>
      <c r="B24" s="221" t="s">
        <v>70</v>
      </c>
      <c r="C24" s="131">
        <v>1</v>
      </c>
      <c r="D24" s="131">
        <v>1</v>
      </c>
      <c r="F24">
        <v>24</v>
      </c>
      <c r="G24" t="s">
        <v>72</v>
      </c>
      <c r="H24" t="s">
        <v>22</v>
      </c>
      <c r="I24">
        <v>2</v>
      </c>
    </row>
    <row r="25" spans="1:9" ht="13.5" thickBot="1" x14ac:dyDescent="0.25">
      <c r="A25" s="219">
        <v>24</v>
      </c>
      <c r="B25" s="221" t="s">
        <v>72</v>
      </c>
      <c r="C25" s="131">
        <v>1</v>
      </c>
      <c r="D25" s="131">
        <v>1</v>
      </c>
      <c r="F25">
        <v>25</v>
      </c>
      <c r="G25" t="s">
        <v>73</v>
      </c>
      <c r="H25" t="s">
        <v>22</v>
      </c>
      <c r="I25">
        <v>1</v>
      </c>
    </row>
    <row r="26" spans="1:9" ht="13.5" thickBot="1" x14ac:dyDescent="0.25">
      <c r="A26" s="219">
        <v>25</v>
      </c>
      <c r="B26" s="221" t="s">
        <v>73</v>
      </c>
      <c r="C26" s="131">
        <v>1</v>
      </c>
      <c r="D26" s="131">
        <v>1</v>
      </c>
      <c r="F26">
        <v>26</v>
      </c>
      <c r="G26" t="s">
        <v>75</v>
      </c>
      <c r="H26" t="s">
        <v>22</v>
      </c>
      <c r="I26">
        <v>1</v>
      </c>
    </row>
    <row r="27" spans="1:9" ht="13.5" thickBot="1" x14ac:dyDescent="0.25">
      <c r="A27" s="219">
        <v>26</v>
      </c>
      <c r="B27" s="221" t="s">
        <v>75</v>
      </c>
      <c r="C27" s="131">
        <v>1</v>
      </c>
      <c r="D27" s="131">
        <v>1</v>
      </c>
      <c r="F27">
        <v>27</v>
      </c>
      <c r="G27" t="s">
        <v>263</v>
      </c>
      <c r="H27" t="s">
        <v>22</v>
      </c>
      <c r="I27">
        <v>1</v>
      </c>
    </row>
    <row r="28" spans="1:9" ht="13.5" thickBot="1" x14ac:dyDescent="0.25">
      <c r="A28" s="219">
        <v>27</v>
      </c>
      <c r="B28" s="221" t="s">
        <v>263</v>
      </c>
      <c r="C28" s="131">
        <v>1</v>
      </c>
      <c r="D28" s="131">
        <v>1</v>
      </c>
      <c r="F28">
        <v>28</v>
      </c>
      <c r="G28" t="s">
        <v>79</v>
      </c>
      <c r="H28" t="s">
        <v>81</v>
      </c>
      <c r="I28">
        <v>1</v>
      </c>
    </row>
    <row r="29" spans="1:9" ht="13.5" thickBot="1" x14ac:dyDescent="0.25">
      <c r="A29" s="219">
        <v>28</v>
      </c>
      <c r="B29" s="221" t="s">
        <v>79</v>
      </c>
      <c r="C29" s="131">
        <v>1</v>
      </c>
      <c r="D29" s="131">
        <v>1</v>
      </c>
      <c r="F29">
        <v>29</v>
      </c>
      <c r="G29" t="s">
        <v>252</v>
      </c>
      <c r="H29" t="s">
        <v>22</v>
      </c>
      <c r="I29">
        <v>1</v>
      </c>
    </row>
    <row r="30" spans="1:9" ht="13.5" thickBot="1" x14ac:dyDescent="0.25">
      <c r="A30" s="219">
        <v>29</v>
      </c>
      <c r="B30" s="221" t="s">
        <v>252</v>
      </c>
      <c r="C30" s="131">
        <v>6</v>
      </c>
      <c r="D30" s="131">
        <v>6</v>
      </c>
      <c r="F30">
        <v>30</v>
      </c>
      <c r="G30" t="s">
        <v>84</v>
      </c>
      <c r="H30" t="s">
        <v>22</v>
      </c>
      <c r="I30">
        <v>1</v>
      </c>
    </row>
    <row r="31" spans="1:9" ht="13.5" thickBot="1" x14ac:dyDescent="0.25">
      <c r="A31" s="219">
        <v>30</v>
      </c>
      <c r="B31" s="221" t="s">
        <v>84</v>
      </c>
      <c r="C31" s="131">
        <v>6</v>
      </c>
      <c r="D31" s="131">
        <v>6</v>
      </c>
      <c r="F31">
        <v>31</v>
      </c>
      <c r="G31" t="s">
        <v>85</v>
      </c>
      <c r="H31" t="s">
        <v>22</v>
      </c>
      <c r="I31">
        <v>1</v>
      </c>
    </row>
    <row r="32" spans="1:9" ht="13.5" thickBot="1" x14ac:dyDescent="0.25">
      <c r="A32" s="219">
        <v>31</v>
      </c>
      <c r="B32" s="221" t="s">
        <v>85</v>
      </c>
      <c r="C32" s="131">
        <v>4</v>
      </c>
      <c r="D32" s="131">
        <v>4</v>
      </c>
      <c r="F32">
        <v>32</v>
      </c>
      <c r="G32" t="s">
        <v>310</v>
      </c>
      <c r="H32" t="s">
        <v>22</v>
      </c>
      <c r="I32">
        <v>1</v>
      </c>
    </row>
    <row r="33" spans="1:9" ht="13.5" thickBot="1" x14ac:dyDescent="0.25">
      <c r="A33" s="219">
        <v>32</v>
      </c>
      <c r="B33" s="221" t="s">
        <v>310</v>
      </c>
      <c r="C33" s="131">
        <v>2</v>
      </c>
      <c r="D33" s="131">
        <v>2</v>
      </c>
      <c r="F33">
        <v>33</v>
      </c>
      <c r="G33" t="s">
        <v>89</v>
      </c>
      <c r="H33" t="s">
        <v>22</v>
      </c>
      <c r="I33">
        <v>1</v>
      </c>
    </row>
    <row r="34" spans="1:9" ht="13.5" thickBot="1" x14ac:dyDescent="0.25">
      <c r="A34" s="219">
        <v>33</v>
      </c>
      <c r="B34" s="221" t="s">
        <v>89</v>
      </c>
      <c r="C34" s="131">
        <v>2</v>
      </c>
      <c r="D34" s="131">
        <v>2</v>
      </c>
      <c r="F34">
        <v>34</v>
      </c>
      <c r="G34" t="s">
        <v>308</v>
      </c>
      <c r="H34" t="s">
        <v>22</v>
      </c>
      <c r="I34">
        <v>1</v>
      </c>
    </row>
    <row r="35" spans="1:9" ht="13.5" thickBot="1" x14ac:dyDescent="0.25">
      <c r="A35" s="219">
        <v>34</v>
      </c>
      <c r="B35" s="221" t="s">
        <v>308</v>
      </c>
      <c r="C35" s="131">
        <v>3</v>
      </c>
      <c r="D35" s="131">
        <v>3</v>
      </c>
      <c r="F35">
        <v>35</v>
      </c>
      <c r="G35" t="s">
        <v>265</v>
      </c>
      <c r="H35" t="s">
        <v>22</v>
      </c>
      <c r="I35">
        <v>1</v>
      </c>
    </row>
    <row r="36" spans="1:9" ht="13.5" thickBot="1" x14ac:dyDescent="0.25">
      <c r="A36" s="219">
        <v>35</v>
      </c>
      <c r="B36" s="221" t="s">
        <v>265</v>
      </c>
      <c r="C36" s="131">
        <v>1</v>
      </c>
      <c r="D36" s="131">
        <v>1</v>
      </c>
      <c r="F36">
        <v>36</v>
      </c>
      <c r="G36" t="s">
        <v>95</v>
      </c>
      <c r="H36" t="s">
        <v>22</v>
      </c>
      <c r="I36">
        <v>1</v>
      </c>
    </row>
    <row r="37" spans="1:9" ht="13.5" thickBot="1" x14ac:dyDescent="0.25">
      <c r="A37" s="219">
        <v>36</v>
      </c>
      <c r="B37" s="221" t="s">
        <v>95</v>
      </c>
      <c r="C37" s="131">
        <v>1</v>
      </c>
      <c r="D37" s="131">
        <v>1</v>
      </c>
      <c r="F37">
        <v>37</v>
      </c>
      <c r="G37" t="s">
        <v>269</v>
      </c>
      <c r="H37" t="s">
        <v>107</v>
      </c>
      <c r="I37">
        <v>6</v>
      </c>
    </row>
    <row r="38" spans="1:9" ht="13.5" thickBot="1" x14ac:dyDescent="0.25">
      <c r="A38" s="219">
        <v>37</v>
      </c>
      <c r="B38" s="221" t="s">
        <v>269</v>
      </c>
      <c r="C38" s="131">
        <v>2</v>
      </c>
      <c r="D38" s="131">
        <v>2</v>
      </c>
      <c r="F38">
        <v>38</v>
      </c>
      <c r="G38" t="s">
        <v>267</v>
      </c>
      <c r="H38" t="s">
        <v>107</v>
      </c>
      <c r="I38">
        <v>6</v>
      </c>
    </row>
    <row r="39" spans="1:9" ht="13.5" thickBot="1" x14ac:dyDescent="0.25">
      <c r="A39" s="219">
        <v>38</v>
      </c>
      <c r="B39" s="221" t="s">
        <v>267</v>
      </c>
      <c r="C39" s="131">
        <v>8</v>
      </c>
      <c r="D39" s="131">
        <v>8</v>
      </c>
      <c r="F39">
        <v>39</v>
      </c>
      <c r="G39" t="s">
        <v>271</v>
      </c>
      <c r="H39" t="s">
        <v>107</v>
      </c>
      <c r="I39">
        <v>4</v>
      </c>
    </row>
    <row r="40" spans="1:9" ht="13.5" thickBot="1" x14ac:dyDescent="0.25">
      <c r="A40" s="219">
        <v>39</v>
      </c>
      <c r="B40" s="221" t="s">
        <v>271</v>
      </c>
      <c r="C40" s="131">
        <v>4</v>
      </c>
      <c r="D40" s="131">
        <v>4</v>
      </c>
      <c r="F40">
        <v>40</v>
      </c>
      <c r="G40" t="s">
        <v>103</v>
      </c>
      <c r="H40" t="s">
        <v>107</v>
      </c>
      <c r="I40">
        <v>2</v>
      </c>
    </row>
    <row r="41" spans="1:9" ht="13.5" thickBot="1" x14ac:dyDescent="0.25">
      <c r="A41" s="219">
        <v>40</v>
      </c>
      <c r="B41" s="221" t="s">
        <v>103</v>
      </c>
      <c r="C41" s="131">
        <v>2</v>
      </c>
      <c r="D41" s="131">
        <v>2</v>
      </c>
      <c r="F41">
        <v>41</v>
      </c>
      <c r="G41" t="s">
        <v>311</v>
      </c>
      <c r="H41" t="s">
        <v>107</v>
      </c>
      <c r="I41">
        <v>2</v>
      </c>
    </row>
    <row r="42" spans="1:9" ht="13.5" thickBot="1" x14ac:dyDescent="0.25">
      <c r="A42" s="219">
        <v>41</v>
      </c>
      <c r="B42" s="221" t="s">
        <v>311</v>
      </c>
      <c r="C42" s="131">
        <v>3</v>
      </c>
      <c r="D42" s="131">
        <v>3</v>
      </c>
      <c r="F42">
        <v>42</v>
      </c>
      <c r="G42" t="s">
        <v>108</v>
      </c>
      <c r="H42" t="s">
        <v>107</v>
      </c>
      <c r="I42">
        <v>3</v>
      </c>
    </row>
    <row r="43" spans="1:9" ht="13.5" thickBot="1" x14ac:dyDescent="0.25">
      <c r="A43" s="219">
        <v>42</v>
      </c>
      <c r="B43" s="221" t="s">
        <v>108</v>
      </c>
      <c r="C43" s="131">
        <v>2</v>
      </c>
      <c r="D43" s="131">
        <v>2</v>
      </c>
      <c r="F43">
        <v>43</v>
      </c>
      <c r="G43" t="s">
        <v>110</v>
      </c>
      <c r="H43" t="s">
        <v>81</v>
      </c>
      <c r="I43">
        <v>1</v>
      </c>
    </row>
    <row r="44" spans="1:9" ht="13.5" thickBot="1" x14ac:dyDescent="0.25">
      <c r="A44" s="219">
        <v>43</v>
      </c>
      <c r="B44" s="221" t="s">
        <v>110</v>
      </c>
      <c r="C44" s="131">
        <v>1</v>
      </c>
      <c r="D44" s="131">
        <v>1</v>
      </c>
      <c r="F44">
        <v>44</v>
      </c>
      <c r="G44" t="s">
        <v>112</v>
      </c>
      <c r="H44" t="s">
        <v>81</v>
      </c>
      <c r="I44">
        <v>1</v>
      </c>
    </row>
    <row r="45" spans="1:9" ht="13.5" thickBot="1" x14ac:dyDescent="0.25">
      <c r="A45" s="219">
        <v>44</v>
      </c>
      <c r="B45" s="221" t="s">
        <v>112</v>
      </c>
      <c r="C45" s="131">
        <v>2</v>
      </c>
      <c r="D45" s="131">
        <v>2</v>
      </c>
      <c r="F45">
        <v>45</v>
      </c>
      <c r="G45" t="s">
        <v>114</v>
      </c>
      <c r="H45" t="s">
        <v>81</v>
      </c>
      <c r="I45">
        <v>2</v>
      </c>
    </row>
    <row r="46" spans="1:9" ht="13.5" thickBot="1" x14ac:dyDescent="0.25">
      <c r="A46" s="219">
        <v>45</v>
      </c>
      <c r="B46" s="221" t="s">
        <v>114</v>
      </c>
      <c r="C46" s="131">
        <v>3</v>
      </c>
      <c r="D46" s="131">
        <v>3</v>
      </c>
      <c r="F46">
        <v>46</v>
      </c>
      <c r="G46" t="s">
        <v>274</v>
      </c>
      <c r="H46" t="s">
        <v>81</v>
      </c>
      <c r="I46">
        <v>8</v>
      </c>
    </row>
    <row r="47" spans="1:9" ht="13.5" thickBot="1" x14ac:dyDescent="0.25">
      <c r="A47" s="219">
        <v>46</v>
      </c>
      <c r="B47" s="221" t="s">
        <v>274</v>
      </c>
      <c r="C47" s="131">
        <v>1</v>
      </c>
      <c r="D47" s="131">
        <v>1</v>
      </c>
      <c r="F47">
        <v>47</v>
      </c>
      <c r="G47" t="s">
        <v>118</v>
      </c>
      <c r="H47" t="s">
        <v>22</v>
      </c>
      <c r="I47">
        <v>4</v>
      </c>
    </row>
    <row r="48" spans="1:9" ht="13.5" thickBot="1" x14ac:dyDescent="0.25">
      <c r="A48" s="219">
        <v>47</v>
      </c>
      <c r="B48" s="221" t="s">
        <v>118</v>
      </c>
      <c r="C48" s="131">
        <v>1</v>
      </c>
      <c r="D48" s="131">
        <v>1</v>
      </c>
      <c r="F48">
        <v>48</v>
      </c>
      <c r="G48" t="s">
        <v>289</v>
      </c>
      <c r="H48" t="s">
        <v>22</v>
      </c>
      <c r="I48">
        <v>2</v>
      </c>
    </row>
    <row r="49" spans="1:9" ht="13.5" thickBot="1" x14ac:dyDescent="0.25">
      <c r="A49" s="219">
        <v>48</v>
      </c>
      <c r="B49" s="221" t="s">
        <v>289</v>
      </c>
      <c r="C49" s="131">
        <v>1</v>
      </c>
      <c r="D49" s="131">
        <v>1</v>
      </c>
      <c r="F49">
        <v>49</v>
      </c>
      <c r="G49" t="s">
        <v>122</v>
      </c>
      <c r="H49" t="s">
        <v>22</v>
      </c>
      <c r="I49">
        <v>3</v>
      </c>
    </row>
    <row r="50" spans="1:9" ht="13.5" thickBot="1" x14ac:dyDescent="0.25">
      <c r="A50" s="219">
        <v>49</v>
      </c>
      <c r="B50" s="221" t="s">
        <v>122</v>
      </c>
      <c r="C50" s="131">
        <v>1</v>
      </c>
      <c r="D50" s="131">
        <v>1</v>
      </c>
      <c r="F50">
        <v>50</v>
      </c>
      <c r="G50" t="s">
        <v>124</v>
      </c>
      <c r="H50" t="s">
        <v>22</v>
      </c>
      <c r="I50">
        <v>2</v>
      </c>
    </row>
    <row r="51" spans="1:9" ht="13.5" thickBot="1" x14ac:dyDescent="0.25">
      <c r="A51" s="219">
        <v>50</v>
      </c>
      <c r="B51" s="221" t="s">
        <v>124</v>
      </c>
      <c r="C51" s="131">
        <v>1</v>
      </c>
      <c r="D51" s="131">
        <v>1</v>
      </c>
      <c r="F51">
        <v>51</v>
      </c>
      <c r="G51" t="s">
        <v>126</v>
      </c>
      <c r="H51" t="s">
        <v>22</v>
      </c>
      <c r="I51">
        <v>1</v>
      </c>
    </row>
    <row r="52" spans="1:9" ht="13.5" thickBot="1" x14ac:dyDescent="0.25">
      <c r="A52" s="219">
        <v>51</v>
      </c>
      <c r="B52" s="221" t="s">
        <v>126</v>
      </c>
      <c r="C52" s="131">
        <v>1</v>
      </c>
      <c r="D52" s="131">
        <v>1</v>
      </c>
      <c r="F52">
        <v>52</v>
      </c>
      <c r="G52" t="s">
        <v>128</v>
      </c>
      <c r="H52" t="s">
        <v>81</v>
      </c>
      <c r="I52">
        <v>2</v>
      </c>
    </row>
    <row r="53" spans="1:9" ht="13.5" thickBot="1" x14ac:dyDescent="0.25">
      <c r="A53" s="219">
        <v>52</v>
      </c>
      <c r="B53" s="221" t="s">
        <v>128</v>
      </c>
      <c r="C53" s="131">
        <v>1</v>
      </c>
      <c r="D53" s="131">
        <v>1</v>
      </c>
      <c r="F53">
        <v>53</v>
      </c>
      <c r="G53" t="s">
        <v>130</v>
      </c>
      <c r="H53" t="s">
        <v>107</v>
      </c>
      <c r="I53">
        <v>3</v>
      </c>
    </row>
    <row r="54" spans="1:9" ht="13.5" thickBot="1" x14ac:dyDescent="0.25">
      <c r="A54" s="219">
        <v>53</v>
      </c>
      <c r="B54" s="221" t="s">
        <v>130</v>
      </c>
      <c r="C54" s="131">
        <v>1</v>
      </c>
      <c r="D54" s="131">
        <v>1</v>
      </c>
      <c r="F54">
        <v>54</v>
      </c>
      <c r="G54" t="s">
        <v>294</v>
      </c>
      <c r="H54" t="s">
        <v>22</v>
      </c>
      <c r="I54">
        <v>1</v>
      </c>
    </row>
    <row r="55" spans="1:9" ht="13.5" thickBot="1" x14ac:dyDescent="0.25">
      <c r="A55" s="219">
        <v>54</v>
      </c>
      <c r="B55" s="221" t="s">
        <v>294</v>
      </c>
      <c r="C55" s="131">
        <v>1</v>
      </c>
      <c r="D55" s="131">
        <v>1</v>
      </c>
      <c r="F55">
        <v>55</v>
      </c>
      <c r="G55" t="s">
        <v>135</v>
      </c>
      <c r="H55" t="s">
        <v>22</v>
      </c>
      <c r="I55">
        <v>1</v>
      </c>
    </row>
    <row r="56" spans="1:9" ht="13.5" thickBot="1" x14ac:dyDescent="0.25">
      <c r="A56" s="219">
        <v>55</v>
      </c>
      <c r="B56" s="221" t="s">
        <v>135</v>
      </c>
      <c r="C56" s="131">
        <v>1</v>
      </c>
      <c r="D56" s="131">
        <v>1</v>
      </c>
      <c r="F56">
        <v>56</v>
      </c>
      <c r="G56" t="s">
        <v>307</v>
      </c>
      <c r="H56" t="s">
        <v>22</v>
      </c>
      <c r="I56">
        <v>1</v>
      </c>
    </row>
    <row r="57" spans="1:9" ht="13.5" thickBot="1" x14ac:dyDescent="0.25">
      <c r="A57" s="219">
        <v>56</v>
      </c>
      <c r="B57" s="221" t="s">
        <v>307</v>
      </c>
      <c r="C57" s="131">
        <v>1</v>
      </c>
      <c r="D57" s="131">
        <v>1</v>
      </c>
      <c r="F57">
        <v>57</v>
      </c>
      <c r="G57" t="s">
        <v>233</v>
      </c>
      <c r="H57" t="s">
        <v>22</v>
      </c>
      <c r="I57">
        <v>1</v>
      </c>
    </row>
    <row r="58" spans="1:9" ht="13.5" thickBot="1" x14ac:dyDescent="0.25">
      <c r="A58" s="219">
        <v>57</v>
      </c>
      <c r="B58" s="221" t="s">
        <v>233</v>
      </c>
      <c r="C58" s="131">
        <v>1</v>
      </c>
      <c r="D58" s="131">
        <v>1</v>
      </c>
      <c r="F58">
        <v>58</v>
      </c>
      <c r="G58" t="s">
        <v>143</v>
      </c>
      <c r="H58" t="s">
        <v>22</v>
      </c>
      <c r="I58">
        <v>5</v>
      </c>
    </row>
    <row r="59" spans="1:9" ht="13.5" thickBot="1" x14ac:dyDescent="0.25">
      <c r="A59" s="219">
        <v>58</v>
      </c>
      <c r="B59" s="221" t="s">
        <v>143</v>
      </c>
      <c r="C59" s="131">
        <v>2</v>
      </c>
      <c r="D59" s="131">
        <v>2</v>
      </c>
      <c r="F59">
        <v>59</v>
      </c>
      <c r="G59" t="s">
        <v>246</v>
      </c>
      <c r="H59" t="s">
        <v>22</v>
      </c>
      <c r="I59">
        <v>1</v>
      </c>
    </row>
    <row r="60" spans="1:9" ht="13.5" thickBot="1" x14ac:dyDescent="0.25">
      <c r="A60" s="219">
        <v>59</v>
      </c>
      <c r="B60" s="221" t="s">
        <v>246</v>
      </c>
      <c r="C60" s="131">
        <v>4</v>
      </c>
      <c r="D60" s="131">
        <v>4</v>
      </c>
      <c r="F60">
        <v>60</v>
      </c>
      <c r="G60" t="s">
        <v>147</v>
      </c>
      <c r="H60" t="s">
        <v>22</v>
      </c>
      <c r="I60">
        <v>1</v>
      </c>
    </row>
    <row r="61" spans="1:9" ht="13.5" thickBot="1" x14ac:dyDescent="0.25">
      <c r="A61" s="219">
        <v>60</v>
      </c>
      <c r="B61" s="221" t="s">
        <v>147</v>
      </c>
      <c r="C61" s="131">
        <v>4</v>
      </c>
      <c r="D61" s="131">
        <v>4</v>
      </c>
      <c r="F61">
        <v>61</v>
      </c>
      <c r="G61" t="s">
        <v>149</v>
      </c>
      <c r="H61" t="s">
        <v>22</v>
      </c>
      <c r="I61">
        <v>5</v>
      </c>
    </row>
    <row r="62" spans="1:9" ht="13.5" thickBot="1" x14ac:dyDescent="0.25">
      <c r="A62" s="219">
        <v>61</v>
      </c>
      <c r="B62" s="221" t="s">
        <v>149</v>
      </c>
      <c r="C62" s="131">
        <v>2</v>
      </c>
      <c r="D62" s="131">
        <v>2</v>
      </c>
      <c r="F62">
        <v>62</v>
      </c>
      <c r="G62" t="s">
        <v>226</v>
      </c>
      <c r="H62" t="s">
        <v>22</v>
      </c>
      <c r="I62">
        <v>1</v>
      </c>
    </row>
    <row r="63" spans="1:9" ht="13.5" thickBot="1" x14ac:dyDescent="0.25">
      <c r="A63" s="219">
        <v>62</v>
      </c>
      <c r="B63" s="221" t="s">
        <v>226</v>
      </c>
      <c r="C63" s="131">
        <v>2</v>
      </c>
      <c r="D63" s="131">
        <v>2</v>
      </c>
      <c r="F63">
        <v>63</v>
      </c>
      <c r="G63" t="s">
        <v>227</v>
      </c>
      <c r="H63" t="s">
        <v>22</v>
      </c>
      <c r="I63">
        <v>1</v>
      </c>
    </row>
    <row r="64" spans="1:9" ht="13.5" thickBot="1" x14ac:dyDescent="0.25">
      <c r="A64" s="219">
        <v>63</v>
      </c>
      <c r="B64" s="221" t="s">
        <v>227</v>
      </c>
      <c r="C64" s="131">
        <v>3</v>
      </c>
      <c r="D64" s="131">
        <v>3</v>
      </c>
      <c r="F64">
        <v>64</v>
      </c>
      <c r="G64" t="s">
        <v>228</v>
      </c>
      <c r="H64" t="s">
        <v>22</v>
      </c>
      <c r="I64">
        <v>1</v>
      </c>
    </row>
    <row r="65" spans="1:9" ht="13.5" thickBot="1" x14ac:dyDescent="0.25">
      <c r="A65" s="219">
        <v>64</v>
      </c>
      <c r="B65" s="221" t="s">
        <v>228</v>
      </c>
      <c r="C65" s="131">
        <v>5</v>
      </c>
      <c r="D65" s="131">
        <v>5</v>
      </c>
      <c r="F65">
        <v>65</v>
      </c>
      <c r="G65" t="s">
        <v>159</v>
      </c>
      <c r="H65" t="s">
        <v>22</v>
      </c>
      <c r="I65">
        <v>2</v>
      </c>
    </row>
    <row r="66" spans="1:9" ht="13.5" thickBot="1" x14ac:dyDescent="0.25">
      <c r="A66" s="219">
        <v>65</v>
      </c>
      <c r="B66" s="221" t="s">
        <v>159</v>
      </c>
      <c r="C66" s="131">
        <v>2</v>
      </c>
      <c r="D66" s="131">
        <v>2</v>
      </c>
      <c r="F66">
        <v>66</v>
      </c>
      <c r="G66" t="s">
        <v>161</v>
      </c>
      <c r="H66" t="s">
        <v>107</v>
      </c>
      <c r="I66">
        <v>1</v>
      </c>
    </row>
    <row r="67" spans="1:9" ht="13.5" thickBot="1" x14ac:dyDescent="0.25">
      <c r="A67" s="219">
        <v>66</v>
      </c>
      <c r="B67" s="221" t="s">
        <v>161</v>
      </c>
      <c r="C67" s="131">
        <v>4</v>
      </c>
      <c r="D67" s="131">
        <v>4</v>
      </c>
      <c r="F67">
        <v>67</v>
      </c>
      <c r="G67" t="s">
        <v>164</v>
      </c>
      <c r="H67" t="s">
        <v>22</v>
      </c>
      <c r="I67">
        <v>2</v>
      </c>
    </row>
    <row r="68" spans="1:9" ht="13.5" thickBot="1" x14ac:dyDescent="0.25">
      <c r="A68" s="219">
        <v>67</v>
      </c>
      <c r="B68" s="221" t="s">
        <v>164</v>
      </c>
      <c r="C68" s="131">
        <v>5</v>
      </c>
      <c r="D68" s="131">
        <v>5</v>
      </c>
      <c r="F68">
        <v>68</v>
      </c>
      <c r="G68" t="s">
        <v>167</v>
      </c>
      <c r="H68" t="s">
        <v>22</v>
      </c>
      <c r="I68">
        <v>1</v>
      </c>
    </row>
    <row r="69" spans="1:9" ht="13.5" thickBot="1" x14ac:dyDescent="0.25">
      <c r="A69" s="219">
        <v>68</v>
      </c>
      <c r="B69" s="221" t="s">
        <v>167</v>
      </c>
      <c r="C69" s="131">
        <v>7</v>
      </c>
      <c r="D69" s="131">
        <v>7</v>
      </c>
      <c r="F69">
        <v>69</v>
      </c>
      <c r="G69" t="s">
        <v>170</v>
      </c>
      <c r="H69" t="s">
        <v>22</v>
      </c>
      <c r="I69">
        <v>2</v>
      </c>
    </row>
    <row r="70" spans="1:9" ht="13.5" thickBot="1" x14ac:dyDescent="0.25">
      <c r="A70" s="219">
        <v>69</v>
      </c>
      <c r="B70" s="221" t="s">
        <v>170</v>
      </c>
      <c r="C70" s="131">
        <v>2</v>
      </c>
      <c r="D70" s="131">
        <v>2</v>
      </c>
      <c r="F70">
        <v>70</v>
      </c>
      <c r="G70" t="s">
        <v>279</v>
      </c>
      <c r="H70" t="s">
        <v>22</v>
      </c>
      <c r="I70">
        <v>4</v>
      </c>
    </row>
    <row r="71" spans="1:9" ht="13.5" thickBot="1" x14ac:dyDescent="0.25">
      <c r="A71" s="219">
        <v>70</v>
      </c>
      <c r="B71" s="221" t="s">
        <v>279</v>
      </c>
      <c r="C71" s="131">
        <v>3</v>
      </c>
      <c r="D71" s="131">
        <v>1</v>
      </c>
      <c r="F71">
        <v>71</v>
      </c>
      <c r="G71" t="s">
        <v>174</v>
      </c>
      <c r="H71" t="s">
        <v>22</v>
      </c>
      <c r="I71">
        <v>1</v>
      </c>
    </row>
    <row r="72" spans="1:9" ht="13.5" thickBot="1" x14ac:dyDescent="0.25">
      <c r="A72" s="219">
        <v>71</v>
      </c>
      <c r="B72" s="221" t="s">
        <v>174</v>
      </c>
      <c r="C72" s="131">
        <v>4</v>
      </c>
      <c r="D72" s="131">
        <v>4</v>
      </c>
      <c r="F72">
        <v>72</v>
      </c>
      <c r="G72" t="s">
        <v>230</v>
      </c>
      <c r="H72" t="s">
        <v>22</v>
      </c>
      <c r="I72">
        <v>1</v>
      </c>
    </row>
    <row r="73" spans="1:9" ht="13.5" thickBot="1" x14ac:dyDescent="0.25">
      <c r="A73" s="219">
        <v>72</v>
      </c>
      <c r="B73" s="221" t="s">
        <v>230</v>
      </c>
      <c r="C73" s="131">
        <v>2</v>
      </c>
      <c r="D73" s="131">
        <v>1</v>
      </c>
      <c r="F73">
        <v>73</v>
      </c>
      <c r="G73" t="s">
        <v>179</v>
      </c>
      <c r="H73" t="s">
        <v>22</v>
      </c>
      <c r="I73">
        <v>2</v>
      </c>
    </row>
    <row r="74" spans="1:9" ht="13.5" thickBot="1" x14ac:dyDescent="0.25">
      <c r="A74" s="219">
        <v>73</v>
      </c>
      <c r="B74" s="221" t="s">
        <v>179</v>
      </c>
      <c r="C74" s="131">
        <v>12</v>
      </c>
      <c r="D74" s="131">
        <v>9</v>
      </c>
      <c r="F74">
        <v>74</v>
      </c>
      <c r="G74" t="s">
        <v>181</v>
      </c>
      <c r="H74" t="s">
        <v>22</v>
      </c>
      <c r="I74">
        <v>4</v>
      </c>
    </row>
    <row r="75" spans="1:9" ht="13.5" thickBot="1" x14ac:dyDescent="0.25">
      <c r="A75" s="219">
        <v>74</v>
      </c>
      <c r="B75" s="221" t="s">
        <v>181</v>
      </c>
      <c r="C75" s="131">
        <v>2</v>
      </c>
      <c r="D75" s="131">
        <v>1</v>
      </c>
      <c r="F75">
        <v>75</v>
      </c>
      <c r="G75" t="s">
        <v>183</v>
      </c>
      <c r="H75" t="s">
        <v>81</v>
      </c>
      <c r="I75">
        <v>4</v>
      </c>
    </row>
    <row r="76" spans="1:9" ht="13.5" thickBot="1" x14ac:dyDescent="0.25">
      <c r="A76" s="219">
        <v>75</v>
      </c>
      <c r="B76" s="221" t="s">
        <v>183</v>
      </c>
      <c r="C76" s="131">
        <v>5</v>
      </c>
      <c r="D76" s="131">
        <v>5</v>
      </c>
      <c r="F76">
        <v>76</v>
      </c>
      <c r="G76" t="s">
        <v>276</v>
      </c>
      <c r="H76" t="s">
        <v>107</v>
      </c>
      <c r="I76">
        <v>2</v>
      </c>
    </row>
    <row r="77" spans="1:9" ht="13.5" thickBot="1" x14ac:dyDescent="0.25">
      <c r="A77" s="219">
        <v>76</v>
      </c>
      <c r="B77" s="221" t="s">
        <v>276</v>
      </c>
      <c r="C77" s="131">
        <v>10</v>
      </c>
      <c r="D77" s="131">
        <v>1</v>
      </c>
      <c r="F77">
        <v>77</v>
      </c>
      <c r="G77" t="s">
        <v>187</v>
      </c>
      <c r="H77" t="s">
        <v>107</v>
      </c>
      <c r="I77">
        <v>2</v>
      </c>
    </row>
    <row r="78" spans="1:9" ht="13.5" thickBot="1" x14ac:dyDescent="0.25">
      <c r="A78" s="219">
        <v>77</v>
      </c>
      <c r="B78" s="221" t="s">
        <v>187</v>
      </c>
      <c r="C78" s="131">
        <v>1</v>
      </c>
      <c r="D78" s="131">
        <v>1</v>
      </c>
      <c r="F78">
        <v>78</v>
      </c>
      <c r="G78" t="s">
        <v>189</v>
      </c>
      <c r="H78" t="s">
        <v>107</v>
      </c>
      <c r="I78">
        <v>3</v>
      </c>
    </row>
    <row r="79" spans="1:9" ht="13.5" thickBot="1" x14ac:dyDescent="0.25">
      <c r="A79" s="219">
        <v>78</v>
      </c>
      <c r="B79" s="221" t="s">
        <v>189</v>
      </c>
      <c r="C79" s="131">
        <v>5</v>
      </c>
      <c r="D79" s="131">
        <v>5</v>
      </c>
      <c r="F79">
        <v>79</v>
      </c>
      <c r="G79" t="s">
        <v>190</v>
      </c>
      <c r="H79" t="s">
        <v>107</v>
      </c>
      <c r="I79">
        <v>5</v>
      </c>
    </row>
    <row r="80" spans="1:9" ht="13.5" thickBot="1" x14ac:dyDescent="0.25">
      <c r="A80" s="219">
        <v>79</v>
      </c>
      <c r="B80" s="221" t="s">
        <v>190</v>
      </c>
      <c r="C80" s="131">
        <v>4</v>
      </c>
      <c r="D80" s="131">
        <v>1</v>
      </c>
      <c r="F80">
        <v>80</v>
      </c>
      <c r="G80" t="s">
        <v>192</v>
      </c>
      <c r="H80" t="s">
        <v>107</v>
      </c>
      <c r="I80">
        <v>2</v>
      </c>
    </row>
    <row r="81" spans="1:9" ht="13.5" thickBot="1" x14ac:dyDescent="0.25">
      <c r="A81" s="219">
        <v>80</v>
      </c>
      <c r="B81" s="221" t="s">
        <v>192</v>
      </c>
      <c r="C81" s="131">
        <v>1</v>
      </c>
      <c r="D81" s="131">
        <v>1</v>
      </c>
      <c r="F81">
        <v>81</v>
      </c>
      <c r="G81" t="s">
        <v>194</v>
      </c>
      <c r="H81" t="s">
        <v>22</v>
      </c>
      <c r="I81">
        <v>4</v>
      </c>
    </row>
    <row r="82" spans="1:9" ht="13.5" thickBot="1" x14ac:dyDescent="0.25">
      <c r="A82" s="219">
        <v>81</v>
      </c>
      <c r="B82" s="221" t="s">
        <v>194</v>
      </c>
      <c r="C82" s="131">
        <v>1</v>
      </c>
      <c r="D82" s="131">
        <v>1</v>
      </c>
      <c r="F82">
        <v>82</v>
      </c>
      <c r="G82" t="s">
        <v>229</v>
      </c>
      <c r="H82" t="s">
        <v>22</v>
      </c>
      <c r="I82">
        <v>5</v>
      </c>
    </row>
    <row r="83" spans="1:9" ht="13.5" thickBot="1" x14ac:dyDescent="0.25">
      <c r="A83" s="219">
        <v>82</v>
      </c>
      <c r="B83" s="221" t="s">
        <v>229</v>
      </c>
      <c r="C83" s="131">
        <v>2</v>
      </c>
      <c r="D83" s="131">
        <v>2</v>
      </c>
      <c r="F83">
        <v>83</v>
      </c>
      <c r="G83" t="s">
        <v>198</v>
      </c>
      <c r="H83" t="s">
        <v>22</v>
      </c>
      <c r="I83">
        <v>7</v>
      </c>
    </row>
    <row r="84" spans="1:9" ht="13.5" thickBot="1" x14ac:dyDescent="0.25">
      <c r="A84" s="219">
        <v>83</v>
      </c>
      <c r="B84" s="221" t="s">
        <v>198</v>
      </c>
      <c r="C84" s="131">
        <v>1</v>
      </c>
      <c r="D84" s="131">
        <v>1</v>
      </c>
      <c r="F84">
        <v>84</v>
      </c>
      <c r="G84" t="s">
        <v>201</v>
      </c>
      <c r="H84" t="s">
        <v>22</v>
      </c>
      <c r="I84">
        <v>1</v>
      </c>
    </row>
    <row r="85" spans="1:9" ht="13.5" thickBot="1" x14ac:dyDescent="0.25">
      <c r="A85" s="219">
        <v>84</v>
      </c>
      <c r="B85" s="221" t="s">
        <v>201</v>
      </c>
      <c r="C85" s="131">
        <v>2</v>
      </c>
      <c r="D85" s="131">
        <v>2</v>
      </c>
      <c r="F85">
        <v>85</v>
      </c>
      <c r="G85" t="s">
        <v>203</v>
      </c>
      <c r="H85" t="s">
        <v>107</v>
      </c>
      <c r="I85">
        <v>1</v>
      </c>
    </row>
    <row r="86" spans="1:9" ht="13.5" thickBot="1" x14ac:dyDescent="0.25">
      <c r="A86" s="219">
        <v>85</v>
      </c>
      <c r="B86" s="221" t="s">
        <v>203</v>
      </c>
      <c r="C86" s="131">
        <v>4</v>
      </c>
      <c r="D86" s="131">
        <v>1</v>
      </c>
      <c r="F86">
        <v>86</v>
      </c>
      <c r="G86" t="s">
        <v>312</v>
      </c>
      <c r="H86" t="s">
        <v>107</v>
      </c>
      <c r="I86">
        <v>1</v>
      </c>
    </row>
    <row r="87" spans="1:9" ht="13.5" thickBot="1" x14ac:dyDescent="0.25">
      <c r="A87" s="219">
        <v>86</v>
      </c>
      <c r="B87" s="221" t="s">
        <v>312</v>
      </c>
      <c r="C87" s="131">
        <v>1</v>
      </c>
      <c r="D87" s="131">
        <v>1</v>
      </c>
      <c r="F87">
        <v>87</v>
      </c>
      <c r="G87" t="s">
        <v>209</v>
      </c>
      <c r="H87" t="s">
        <v>22</v>
      </c>
      <c r="I87">
        <v>9</v>
      </c>
    </row>
    <row r="88" spans="1:9" ht="13.5" thickBot="1" x14ac:dyDescent="0.25">
      <c r="A88" s="219">
        <v>87</v>
      </c>
      <c r="B88" s="221" t="s">
        <v>209</v>
      </c>
      <c r="C88" s="131">
        <v>1</v>
      </c>
      <c r="D88" s="131">
        <v>1</v>
      </c>
      <c r="F88">
        <v>88</v>
      </c>
      <c r="G88" t="s">
        <v>212</v>
      </c>
      <c r="H88" t="s">
        <v>107</v>
      </c>
      <c r="I88">
        <v>1</v>
      </c>
    </row>
    <row r="89" spans="1:9" ht="13.5" thickBot="1" x14ac:dyDescent="0.25">
      <c r="A89" s="219">
        <v>88</v>
      </c>
      <c r="B89" s="221" t="s">
        <v>212</v>
      </c>
      <c r="C89" s="131">
        <v>4</v>
      </c>
      <c r="D89" s="131">
        <v>1</v>
      </c>
      <c r="F89">
        <v>89</v>
      </c>
      <c r="G89" t="s">
        <v>214</v>
      </c>
      <c r="H89" t="s">
        <v>22</v>
      </c>
      <c r="I89">
        <v>5</v>
      </c>
    </row>
    <row r="90" spans="1:9" ht="13.5" thickBot="1" x14ac:dyDescent="0.25">
      <c r="A90" s="219">
        <v>89</v>
      </c>
      <c r="B90" s="221" t="s">
        <v>214</v>
      </c>
      <c r="C90" s="131">
        <v>5</v>
      </c>
      <c r="D90" s="131">
        <v>5</v>
      </c>
      <c r="F90">
        <v>90</v>
      </c>
      <c r="G90" t="s">
        <v>231</v>
      </c>
      <c r="H90" t="s">
        <v>22</v>
      </c>
      <c r="I90">
        <v>1</v>
      </c>
    </row>
    <row r="91" spans="1:9" ht="13.5" thickBot="1" x14ac:dyDescent="0.25">
      <c r="A91" s="219">
        <v>90</v>
      </c>
      <c r="B91" s="221" t="s">
        <v>231</v>
      </c>
      <c r="C91" s="131">
        <v>4</v>
      </c>
      <c r="D91" s="131">
        <v>1</v>
      </c>
      <c r="F91">
        <v>91</v>
      </c>
      <c r="G91" t="s">
        <v>232</v>
      </c>
      <c r="H91" t="s">
        <v>22</v>
      </c>
      <c r="I91">
        <v>1</v>
      </c>
    </row>
    <row r="92" spans="1:9" ht="13.5" thickBot="1" x14ac:dyDescent="0.25">
      <c r="A92" s="219">
        <v>91</v>
      </c>
      <c r="B92" s="221" t="s">
        <v>232</v>
      </c>
      <c r="C92" s="131">
        <v>4</v>
      </c>
      <c r="D92" s="131">
        <v>1</v>
      </c>
      <c r="F92">
        <v>92</v>
      </c>
      <c r="G92" t="s">
        <v>220</v>
      </c>
      <c r="H92" t="s">
        <v>22</v>
      </c>
      <c r="I92">
        <v>2</v>
      </c>
    </row>
    <row r="93" spans="1:9" ht="13.5" thickBot="1" x14ac:dyDescent="0.25">
      <c r="A93" s="219">
        <v>92</v>
      </c>
      <c r="B93" s="221" t="s">
        <v>220</v>
      </c>
      <c r="C93" s="131">
        <v>2</v>
      </c>
      <c r="D93" s="131">
        <v>2</v>
      </c>
    </row>
    <row r="94" spans="1:9" ht="13.5" thickBot="1" x14ac:dyDescent="0.25">
      <c r="B94" s="221"/>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93"/>
  <sheetViews>
    <sheetView workbookViewId="0">
      <selection sqref="A1:C93"/>
    </sheetView>
  </sheetViews>
  <sheetFormatPr baseColWidth="10" defaultRowHeight="12.75" x14ac:dyDescent="0.2"/>
  <cols>
    <col min="1" max="1" width="5.42578125" bestFit="1" customWidth="1"/>
    <col min="2" max="2" width="76.85546875" bestFit="1" customWidth="1"/>
    <col min="3" max="3" width="14.85546875" bestFit="1" customWidth="1"/>
  </cols>
  <sheetData>
    <row r="1" spans="1:3" ht="13.5" thickBot="1" x14ac:dyDescent="0.25">
      <c r="A1" s="132" t="s">
        <v>314</v>
      </c>
      <c r="B1" s="133" t="s">
        <v>315</v>
      </c>
      <c r="C1" s="133" t="s">
        <v>318</v>
      </c>
    </row>
    <row r="2" spans="1:3" ht="13.5" thickBot="1" x14ac:dyDescent="0.25">
      <c r="A2" s="130">
        <v>1</v>
      </c>
      <c r="B2" s="223" t="s">
        <v>222</v>
      </c>
      <c r="C2" s="222" t="s">
        <v>319</v>
      </c>
    </row>
    <row r="3" spans="1:3" ht="13.5" thickBot="1" x14ac:dyDescent="0.25">
      <c r="A3" s="130">
        <v>2</v>
      </c>
      <c r="B3" s="223" t="s">
        <v>25</v>
      </c>
      <c r="C3" s="222" t="s">
        <v>319</v>
      </c>
    </row>
    <row r="4" spans="1:3" ht="13.5" thickBot="1" x14ac:dyDescent="0.25">
      <c r="A4" s="130">
        <v>3</v>
      </c>
      <c r="B4" s="223" t="s">
        <v>283</v>
      </c>
      <c r="C4" s="222" t="s">
        <v>320</v>
      </c>
    </row>
    <row r="5" spans="1:3" ht="13.5" thickBot="1" x14ac:dyDescent="0.25">
      <c r="A5" s="130">
        <v>4</v>
      </c>
      <c r="B5" s="223" t="s">
        <v>29</v>
      </c>
      <c r="C5" s="134" t="s">
        <v>321</v>
      </c>
    </row>
    <row r="6" spans="1:3" ht="13.5" thickBot="1" x14ac:dyDescent="0.25">
      <c r="A6" s="130">
        <v>5</v>
      </c>
      <c r="B6" s="223" t="s">
        <v>32</v>
      </c>
      <c r="C6" s="134" t="s">
        <v>322</v>
      </c>
    </row>
    <row r="7" spans="1:3" ht="13.5" thickBot="1" x14ac:dyDescent="0.25">
      <c r="A7" s="130">
        <v>6</v>
      </c>
      <c r="B7" s="223" t="s">
        <v>35</v>
      </c>
      <c r="C7" s="222" t="s">
        <v>319</v>
      </c>
    </row>
    <row r="8" spans="1:3" ht="13.5" thickBot="1" x14ac:dyDescent="0.25">
      <c r="A8" s="130">
        <v>7</v>
      </c>
      <c r="B8" s="223" t="s">
        <v>37</v>
      </c>
      <c r="C8" s="222" t="s">
        <v>323</v>
      </c>
    </row>
    <row r="9" spans="1:3" ht="13.5" thickBot="1" x14ac:dyDescent="0.25">
      <c r="A9" s="130">
        <v>8</v>
      </c>
      <c r="B9" s="223" t="s">
        <v>39</v>
      </c>
      <c r="C9" s="222" t="s">
        <v>319</v>
      </c>
    </row>
    <row r="10" spans="1:3" ht="13.5" thickBot="1" x14ac:dyDescent="0.25">
      <c r="A10" s="130">
        <v>9</v>
      </c>
      <c r="B10" s="223" t="s">
        <v>41</v>
      </c>
      <c r="C10" s="222" t="s">
        <v>319</v>
      </c>
    </row>
    <row r="11" spans="1:3" ht="13.5" thickBot="1" x14ac:dyDescent="0.25">
      <c r="A11" s="130">
        <v>10</v>
      </c>
      <c r="B11" s="223" t="s">
        <v>43</v>
      </c>
      <c r="C11" s="222" t="s">
        <v>319</v>
      </c>
    </row>
    <row r="12" spans="1:3" ht="13.5" thickBot="1" x14ac:dyDescent="0.25">
      <c r="A12" s="130">
        <v>11</v>
      </c>
      <c r="B12" s="223" t="s">
        <v>46</v>
      </c>
      <c r="C12" s="222" t="s">
        <v>319</v>
      </c>
    </row>
    <row r="13" spans="1:3" ht="13.5" thickBot="1" x14ac:dyDescent="0.25">
      <c r="A13" s="130">
        <v>12</v>
      </c>
      <c r="B13" s="223" t="s">
        <v>333</v>
      </c>
      <c r="C13" s="134" t="s">
        <v>324</v>
      </c>
    </row>
    <row r="14" spans="1:3" ht="13.5" thickBot="1" x14ac:dyDescent="0.25">
      <c r="A14" s="130">
        <v>13</v>
      </c>
      <c r="B14" s="223" t="s">
        <v>51</v>
      </c>
      <c r="C14" s="134" t="s">
        <v>321</v>
      </c>
    </row>
    <row r="15" spans="1:3" ht="13.5" thickBot="1" x14ac:dyDescent="0.25">
      <c r="A15" s="130">
        <v>14</v>
      </c>
      <c r="B15" s="223" t="s">
        <v>53</v>
      </c>
      <c r="C15" s="222" t="s">
        <v>319</v>
      </c>
    </row>
    <row r="16" spans="1:3" ht="13.5" thickBot="1" x14ac:dyDescent="0.25">
      <c r="A16" s="130">
        <v>15</v>
      </c>
      <c r="B16" s="223" t="s">
        <v>55</v>
      </c>
      <c r="C16" s="222" t="s">
        <v>319</v>
      </c>
    </row>
    <row r="17" spans="1:3" ht="13.5" thickBot="1" x14ac:dyDescent="0.25">
      <c r="A17" s="130">
        <v>16</v>
      </c>
      <c r="B17" s="223" t="s">
        <v>57</v>
      </c>
      <c r="C17" s="222" t="s">
        <v>319</v>
      </c>
    </row>
    <row r="18" spans="1:3" ht="13.5" thickBot="1" x14ac:dyDescent="0.25">
      <c r="A18" s="130">
        <v>17</v>
      </c>
      <c r="B18" s="223" t="s">
        <v>59</v>
      </c>
      <c r="C18" s="222" t="s">
        <v>319</v>
      </c>
    </row>
    <row r="19" spans="1:3" ht="13.5" thickBot="1" x14ac:dyDescent="0.25">
      <c r="A19" s="130">
        <v>18</v>
      </c>
      <c r="B19" s="223" t="s">
        <v>309</v>
      </c>
      <c r="C19" s="222" t="s">
        <v>319</v>
      </c>
    </row>
    <row r="20" spans="1:3" ht="13.5" thickBot="1" x14ac:dyDescent="0.25">
      <c r="A20" s="130">
        <v>19</v>
      </c>
      <c r="B20" s="223" t="s">
        <v>63</v>
      </c>
      <c r="C20" s="222" t="s">
        <v>325</v>
      </c>
    </row>
    <row r="21" spans="1:3" ht="13.5" thickBot="1" x14ac:dyDescent="0.25">
      <c r="A21" s="130">
        <v>20</v>
      </c>
      <c r="B21" s="223" t="s">
        <v>65</v>
      </c>
      <c r="C21" s="134" t="s">
        <v>326</v>
      </c>
    </row>
    <row r="22" spans="1:3" ht="13.5" thickBot="1" x14ac:dyDescent="0.25">
      <c r="A22" s="130">
        <v>21</v>
      </c>
      <c r="B22" s="223" t="s">
        <v>266</v>
      </c>
      <c r="C22" s="134" t="s">
        <v>327</v>
      </c>
    </row>
    <row r="23" spans="1:3" ht="13.5" thickBot="1" x14ac:dyDescent="0.25">
      <c r="A23" s="130">
        <v>22</v>
      </c>
      <c r="B23" s="223" t="s">
        <v>68</v>
      </c>
      <c r="C23" s="134" t="s">
        <v>328</v>
      </c>
    </row>
    <row r="24" spans="1:3" ht="13.5" thickBot="1" x14ac:dyDescent="0.25">
      <c r="A24" s="130">
        <v>23</v>
      </c>
      <c r="B24" s="223" t="s">
        <v>70</v>
      </c>
      <c r="C24" s="222" t="s">
        <v>319</v>
      </c>
    </row>
    <row r="25" spans="1:3" ht="13.5" thickBot="1" x14ac:dyDescent="0.25">
      <c r="A25" s="130">
        <v>24</v>
      </c>
      <c r="B25" s="223" t="s">
        <v>72</v>
      </c>
      <c r="C25" s="222" t="s">
        <v>319</v>
      </c>
    </row>
    <row r="26" spans="1:3" ht="13.5" thickBot="1" x14ac:dyDescent="0.25">
      <c r="A26" s="130">
        <v>25</v>
      </c>
      <c r="B26" s="223" t="s">
        <v>73</v>
      </c>
      <c r="C26" s="222" t="s">
        <v>324</v>
      </c>
    </row>
    <row r="27" spans="1:3" ht="13.5" thickBot="1" x14ac:dyDescent="0.25">
      <c r="A27" s="130">
        <v>26</v>
      </c>
      <c r="B27" s="223" t="s">
        <v>75</v>
      </c>
      <c r="C27" s="222" t="s">
        <v>319</v>
      </c>
    </row>
    <row r="28" spans="1:3" ht="13.5" thickBot="1" x14ac:dyDescent="0.25">
      <c r="A28" s="130">
        <v>27</v>
      </c>
      <c r="B28" s="223" t="s">
        <v>263</v>
      </c>
      <c r="C28" s="222" t="s">
        <v>319</v>
      </c>
    </row>
    <row r="29" spans="1:3" ht="13.5" thickBot="1" x14ac:dyDescent="0.25">
      <c r="A29" s="130">
        <v>28</v>
      </c>
      <c r="B29" s="223" t="s">
        <v>79</v>
      </c>
      <c r="C29" s="222" t="s">
        <v>319</v>
      </c>
    </row>
    <row r="30" spans="1:3" ht="13.5" thickBot="1" x14ac:dyDescent="0.25">
      <c r="A30" s="130">
        <v>29</v>
      </c>
      <c r="B30" s="223" t="s">
        <v>252</v>
      </c>
      <c r="C30" s="222" t="s">
        <v>319</v>
      </c>
    </row>
    <row r="31" spans="1:3" ht="13.5" thickBot="1" x14ac:dyDescent="0.25">
      <c r="A31" s="130">
        <v>30</v>
      </c>
      <c r="B31" s="223" t="s">
        <v>84</v>
      </c>
      <c r="C31" s="222" t="s">
        <v>319</v>
      </c>
    </row>
    <row r="32" spans="1:3" ht="13.5" thickBot="1" x14ac:dyDescent="0.25">
      <c r="A32" s="130">
        <v>31</v>
      </c>
      <c r="B32" s="223" t="s">
        <v>85</v>
      </c>
      <c r="C32" s="222" t="s">
        <v>319</v>
      </c>
    </row>
    <row r="33" spans="1:3" ht="13.5" thickBot="1" x14ac:dyDescent="0.25">
      <c r="A33" s="130">
        <v>32</v>
      </c>
      <c r="B33" s="223" t="s">
        <v>310</v>
      </c>
      <c r="C33" s="222" t="s">
        <v>319</v>
      </c>
    </row>
    <row r="34" spans="1:3" ht="13.5" thickBot="1" x14ac:dyDescent="0.25">
      <c r="A34" s="130">
        <v>33</v>
      </c>
      <c r="B34" s="223" t="s">
        <v>89</v>
      </c>
      <c r="C34" s="222" t="s">
        <v>319</v>
      </c>
    </row>
    <row r="35" spans="1:3" ht="13.5" thickBot="1" x14ac:dyDescent="0.25">
      <c r="A35" s="130">
        <v>34</v>
      </c>
      <c r="B35" s="223" t="s">
        <v>308</v>
      </c>
      <c r="C35" s="222" t="s">
        <v>319</v>
      </c>
    </row>
    <row r="36" spans="1:3" ht="13.5" thickBot="1" x14ac:dyDescent="0.25">
      <c r="A36" s="130">
        <v>35</v>
      </c>
      <c r="B36" s="223" t="s">
        <v>265</v>
      </c>
      <c r="C36" s="222" t="s">
        <v>319</v>
      </c>
    </row>
    <row r="37" spans="1:3" ht="13.5" thickBot="1" x14ac:dyDescent="0.25">
      <c r="A37" s="130">
        <v>36</v>
      </c>
      <c r="B37" s="223" t="s">
        <v>95</v>
      </c>
      <c r="C37" s="222" t="s">
        <v>319</v>
      </c>
    </row>
    <row r="38" spans="1:3" ht="13.5" thickBot="1" x14ac:dyDescent="0.25">
      <c r="A38" s="130">
        <v>37</v>
      </c>
      <c r="B38" s="223" t="s">
        <v>269</v>
      </c>
      <c r="C38" s="222" t="s">
        <v>329</v>
      </c>
    </row>
    <row r="39" spans="1:3" ht="13.5" thickBot="1" x14ac:dyDescent="0.25">
      <c r="A39" s="130">
        <v>38</v>
      </c>
      <c r="B39" s="223" t="s">
        <v>267</v>
      </c>
      <c r="C39" s="222" t="s">
        <v>319</v>
      </c>
    </row>
    <row r="40" spans="1:3" ht="13.5" thickBot="1" x14ac:dyDescent="0.25">
      <c r="A40" s="130">
        <v>39</v>
      </c>
      <c r="B40" s="223" t="s">
        <v>271</v>
      </c>
      <c r="C40" s="222" t="s">
        <v>330</v>
      </c>
    </row>
    <row r="41" spans="1:3" ht="13.5" thickBot="1" x14ac:dyDescent="0.25">
      <c r="A41" s="130">
        <v>40</v>
      </c>
      <c r="B41" s="223" t="s">
        <v>103</v>
      </c>
      <c r="C41" s="222" t="s">
        <v>319</v>
      </c>
    </row>
    <row r="42" spans="1:3" ht="13.5" thickBot="1" x14ac:dyDescent="0.25">
      <c r="A42" s="130">
        <v>41</v>
      </c>
      <c r="B42" s="223" t="s">
        <v>311</v>
      </c>
      <c r="C42" s="134" t="s">
        <v>327</v>
      </c>
    </row>
    <row r="43" spans="1:3" ht="13.5" thickBot="1" x14ac:dyDescent="0.25">
      <c r="A43" s="130">
        <v>42</v>
      </c>
      <c r="B43" s="223" t="s">
        <v>108</v>
      </c>
      <c r="C43" s="134" t="s">
        <v>331</v>
      </c>
    </row>
    <row r="44" spans="1:3" ht="13.5" thickBot="1" x14ac:dyDescent="0.25">
      <c r="A44" s="130">
        <v>43</v>
      </c>
      <c r="B44" s="223" t="s">
        <v>110</v>
      </c>
      <c r="C44" s="222" t="s">
        <v>319</v>
      </c>
    </row>
    <row r="45" spans="1:3" ht="13.5" thickBot="1" x14ac:dyDescent="0.25">
      <c r="A45" s="130">
        <v>44</v>
      </c>
      <c r="B45" s="223" t="s">
        <v>112</v>
      </c>
      <c r="C45" s="222" t="s">
        <v>319</v>
      </c>
    </row>
    <row r="46" spans="1:3" ht="13.5" thickBot="1" x14ac:dyDescent="0.25">
      <c r="A46" s="130">
        <v>45</v>
      </c>
      <c r="B46" s="223" t="s">
        <v>114</v>
      </c>
      <c r="C46" s="222" t="s">
        <v>319</v>
      </c>
    </row>
    <row r="47" spans="1:3" ht="13.5" thickBot="1" x14ac:dyDescent="0.25">
      <c r="A47" s="130">
        <v>46</v>
      </c>
      <c r="B47" s="223" t="s">
        <v>274</v>
      </c>
      <c r="C47" s="222" t="s">
        <v>324</v>
      </c>
    </row>
    <row r="48" spans="1:3" ht="13.5" thickBot="1" x14ac:dyDescent="0.25">
      <c r="A48" s="130">
        <v>47</v>
      </c>
      <c r="B48" s="223" t="s">
        <v>118</v>
      </c>
      <c r="C48" s="222" t="s">
        <v>319</v>
      </c>
    </row>
    <row r="49" spans="1:3" ht="13.5" thickBot="1" x14ac:dyDescent="0.25">
      <c r="A49" s="130">
        <v>48</v>
      </c>
      <c r="B49" s="223" t="s">
        <v>289</v>
      </c>
      <c r="C49" s="222" t="s">
        <v>319</v>
      </c>
    </row>
    <row r="50" spans="1:3" ht="13.5" thickBot="1" x14ac:dyDescent="0.25">
      <c r="A50" s="130">
        <v>49</v>
      </c>
      <c r="B50" s="223" t="s">
        <v>122</v>
      </c>
      <c r="C50" s="222" t="s">
        <v>319</v>
      </c>
    </row>
    <row r="51" spans="1:3" ht="13.5" thickBot="1" x14ac:dyDescent="0.25">
      <c r="A51" s="130">
        <v>50</v>
      </c>
      <c r="B51" s="223" t="s">
        <v>124</v>
      </c>
      <c r="C51" s="222" t="s">
        <v>319</v>
      </c>
    </row>
    <row r="52" spans="1:3" ht="13.5" thickBot="1" x14ac:dyDescent="0.25">
      <c r="A52" s="130">
        <v>51</v>
      </c>
      <c r="B52" s="223" t="s">
        <v>126</v>
      </c>
      <c r="C52" s="222" t="s">
        <v>319</v>
      </c>
    </row>
    <row r="53" spans="1:3" ht="13.5" thickBot="1" x14ac:dyDescent="0.25">
      <c r="A53" s="130">
        <v>52</v>
      </c>
      <c r="B53" s="223" t="s">
        <v>128</v>
      </c>
      <c r="C53" s="222" t="s">
        <v>319</v>
      </c>
    </row>
    <row r="54" spans="1:3" ht="13.5" thickBot="1" x14ac:dyDescent="0.25">
      <c r="A54" s="130">
        <v>53</v>
      </c>
      <c r="B54" s="223" t="s">
        <v>130</v>
      </c>
      <c r="C54" s="222" t="s">
        <v>319</v>
      </c>
    </row>
    <row r="55" spans="1:3" ht="13.5" thickBot="1" x14ac:dyDescent="0.25">
      <c r="A55" s="130">
        <v>54</v>
      </c>
      <c r="B55" s="223" t="s">
        <v>294</v>
      </c>
      <c r="C55" s="222" t="s">
        <v>319</v>
      </c>
    </row>
    <row r="56" spans="1:3" ht="13.5" thickBot="1" x14ac:dyDescent="0.25">
      <c r="A56" s="130">
        <v>55</v>
      </c>
      <c r="B56" s="223" t="s">
        <v>135</v>
      </c>
      <c r="C56" s="222" t="s">
        <v>319</v>
      </c>
    </row>
    <row r="57" spans="1:3" ht="13.5" thickBot="1" x14ac:dyDescent="0.25">
      <c r="A57" s="130">
        <v>56</v>
      </c>
      <c r="B57" s="223" t="s">
        <v>307</v>
      </c>
      <c r="C57" s="222" t="s">
        <v>319</v>
      </c>
    </row>
    <row r="58" spans="1:3" ht="13.5" thickBot="1" x14ac:dyDescent="0.25">
      <c r="A58" s="130">
        <v>57</v>
      </c>
      <c r="B58" s="223" t="s">
        <v>233</v>
      </c>
      <c r="C58" s="222" t="s">
        <v>319</v>
      </c>
    </row>
    <row r="59" spans="1:3" ht="13.5" thickBot="1" x14ac:dyDescent="0.25">
      <c r="A59" s="130">
        <v>58</v>
      </c>
      <c r="B59" s="223" t="s">
        <v>143</v>
      </c>
      <c r="C59" s="222" t="s">
        <v>319</v>
      </c>
    </row>
    <row r="60" spans="1:3" ht="13.5" thickBot="1" x14ac:dyDescent="0.25">
      <c r="A60" s="130">
        <v>59</v>
      </c>
      <c r="B60" s="223" t="s">
        <v>246</v>
      </c>
      <c r="C60" s="222" t="s">
        <v>319</v>
      </c>
    </row>
    <row r="61" spans="1:3" ht="13.5" thickBot="1" x14ac:dyDescent="0.25">
      <c r="A61" s="130">
        <v>60</v>
      </c>
      <c r="B61" s="223" t="s">
        <v>147</v>
      </c>
      <c r="C61" s="222" t="s">
        <v>319</v>
      </c>
    </row>
    <row r="62" spans="1:3" ht="13.5" thickBot="1" x14ac:dyDescent="0.25">
      <c r="A62" s="130">
        <v>61</v>
      </c>
      <c r="B62" s="223" t="s">
        <v>149</v>
      </c>
      <c r="C62" s="222" t="s">
        <v>319</v>
      </c>
    </row>
    <row r="63" spans="1:3" ht="13.5" thickBot="1" x14ac:dyDescent="0.25">
      <c r="A63" s="130">
        <v>62</v>
      </c>
      <c r="B63" s="223" t="s">
        <v>226</v>
      </c>
      <c r="C63" s="222" t="s">
        <v>319</v>
      </c>
    </row>
    <row r="64" spans="1:3" ht="13.5" thickBot="1" x14ac:dyDescent="0.25">
      <c r="A64" s="130">
        <v>63</v>
      </c>
      <c r="B64" s="223" t="s">
        <v>227</v>
      </c>
      <c r="C64" s="222" t="s">
        <v>319</v>
      </c>
    </row>
    <row r="65" spans="1:3" ht="13.5" thickBot="1" x14ac:dyDescent="0.25">
      <c r="A65" s="130">
        <v>64</v>
      </c>
      <c r="B65" s="223" t="s">
        <v>228</v>
      </c>
      <c r="C65" s="222" t="s">
        <v>319</v>
      </c>
    </row>
    <row r="66" spans="1:3" ht="13.5" thickBot="1" x14ac:dyDescent="0.25">
      <c r="A66" s="130">
        <v>65</v>
      </c>
      <c r="B66" s="223" t="s">
        <v>159</v>
      </c>
      <c r="C66" s="222" t="s">
        <v>319</v>
      </c>
    </row>
    <row r="67" spans="1:3" ht="13.5" thickBot="1" x14ac:dyDescent="0.25">
      <c r="A67" s="130">
        <v>66</v>
      </c>
      <c r="B67" s="223" t="s">
        <v>161</v>
      </c>
      <c r="C67" s="222" t="s">
        <v>319</v>
      </c>
    </row>
    <row r="68" spans="1:3" ht="13.5" thickBot="1" x14ac:dyDescent="0.25">
      <c r="A68" s="130">
        <v>67</v>
      </c>
      <c r="B68" s="223" t="s">
        <v>164</v>
      </c>
      <c r="C68" s="222" t="s">
        <v>319</v>
      </c>
    </row>
    <row r="69" spans="1:3" ht="13.5" thickBot="1" x14ac:dyDescent="0.25">
      <c r="A69" s="130">
        <v>68</v>
      </c>
      <c r="B69" s="223" t="s">
        <v>167</v>
      </c>
      <c r="C69" s="222" t="s">
        <v>319</v>
      </c>
    </row>
    <row r="70" spans="1:3" ht="13.5" thickBot="1" x14ac:dyDescent="0.25">
      <c r="A70" s="130">
        <v>69</v>
      </c>
      <c r="B70" s="223" t="s">
        <v>170</v>
      </c>
      <c r="C70" s="222" t="s">
        <v>319</v>
      </c>
    </row>
    <row r="71" spans="1:3" ht="13.5" thickBot="1" x14ac:dyDescent="0.25">
      <c r="A71" s="130">
        <v>70</v>
      </c>
      <c r="B71" s="223" t="s">
        <v>279</v>
      </c>
      <c r="C71" s="222" t="s">
        <v>319</v>
      </c>
    </row>
    <row r="72" spans="1:3" ht="13.5" thickBot="1" x14ac:dyDescent="0.25">
      <c r="A72" s="130">
        <v>71</v>
      </c>
      <c r="B72" s="223" t="s">
        <v>174</v>
      </c>
      <c r="C72" s="222" t="s">
        <v>319</v>
      </c>
    </row>
    <row r="73" spans="1:3" ht="13.5" thickBot="1" x14ac:dyDescent="0.25">
      <c r="A73" s="130">
        <v>72</v>
      </c>
      <c r="B73" s="223" t="s">
        <v>230</v>
      </c>
      <c r="C73" s="222" t="s">
        <v>319</v>
      </c>
    </row>
    <row r="74" spans="1:3" ht="13.5" thickBot="1" x14ac:dyDescent="0.25">
      <c r="A74" s="130">
        <v>73</v>
      </c>
      <c r="B74" s="223" t="s">
        <v>179</v>
      </c>
      <c r="C74" s="222" t="s">
        <v>319</v>
      </c>
    </row>
    <row r="75" spans="1:3" ht="13.5" thickBot="1" x14ac:dyDescent="0.25">
      <c r="A75" s="130">
        <v>74</v>
      </c>
      <c r="B75" s="223" t="s">
        <v>181</v>
      </c>
      <c r="C75" s="222" t="s">
        <v>319</v>
      </c>
    </row>
    <row r="76" spans="1:3" ht="13.5" thickBot="1" x14ac:dyDescent="0.25">
      <c r="A76" s="130">
        <v>75</v>
      </c>
      <c r="B76" s="223" t="s">
        <v>183</v>
      </c>
      <c r="C76" s="222" t="s">
        <v>319</v>
      </c>
    </row>
    <row r="77" spans="1:3" ht="13.5" thickBot="1" x14ac:dyDescent="0.25">
      <c r="A77" s="130">
        <v>76</v>
      </c>
      <c r="B77" s="223" t="s">
        <v>276</v>
      </c>
      <c r="C77" s="222" t="s">
        <v>319</v>
      </c>
    </row>
    <row r="78" spans="1:3" ht="13.5" thickBot="1" x14ac:dyDescent="0.25">
      <c r="A78" s="130">
        <v>77</v>
      </c>
      <c r="B78" s="223" t="s">
        <v>187</v>
      </c>
      <c r="C78" s="222" t="s">
        <v>319</v>
      </c>
    </row>
    <row r="79" spans="1:3" ht="13.5" thickBot="1" x14ac:dyDescent="0.25">
      <c r="A79" s="130">
        <v>78</v>
      </c>
      <c r="B79" s="223" t="s">
        <v>189</v>
      </c>
      <c r="C79" s="222" t="s">
        <v>319</v>
      </c>
    </row>
    <row r="80" spans="1:3" ht="13.5" thickBot="1" x14ac:dyDescent="0.25">
      <c r="A80" s="130">
        <v>79</v>
      </c>
      <c r="B80" s="223" t="s">
        <v>190</v>
      </c>
      <c r="C80" s="222" t="s">
        <v>319</v>
      </c>
    </row>
    <row r="81" spans="1:3" ht="13.5" thickBot="1" x14ac:dyDescent="0.25">
      <c r="A81" s="130">
        <v>80</v>
      </c>
      <c r="B81" s="223" t="s">
        <v>192</v>
      </c>
      <c r="C81" s="222" t="s">
        <v>319</v>
      </c>
    </row>
    <row r="82" spans="1:3" ht="13.5" thickBot="1" x14ac:dyDescent="0.25">
      <c r="A82" s="130">
        <v>81</v>
      </c>
      <c r="B82" s="223" t="s">
        <v>194</v>
      </c>
      <c r="C82" s="222" t="s">
        <v>319</v>
      </c>
    </row>
    <row r="83" spans="1:3" ht="13.5" thickBot="1" x14ac:dyDescent="0.25">
      <c r="A83" s="130">
        <v>82</v>
      </c>
      <c r="B83" s="223" t="s">
        <v>229</v>
      </c>
      <c r="C83" s="222" t="s">
        <v>319</v>
      </c>
    </row>
    <row r="84" spans="1:3" ht="13.5" thickBot="1" x14ac:dyDescent="0.25">
      <c r="A84" s="130">
        <v>83</v>
      </c>
      <c r="B84" s="223" t="s">
        <v>198</v>
      </c>
      <c r="C84" s="222" t="s">
        <v>319</v>
      </c>
    </row>
    <row r="85" spans="1:3" ht="13.5" thickBot="1" x14ac:dyDescent="0.25">
      <c r="A85" s="130">
        <v>84</v>
      </c>
      <c r="B85" s="223" t="s">
        <v>201</v>
      </c>
      <c r="C85" s="222" t="s">
        <v>319</v>
      </c>
    </row>
    <row r="86" spans="1:3" ht="13.5" thickBot="1" x14ac:dyDescent="0.25">
      <c r="A86" s="130">
        <v>85</v>
      </c>
      <c r="B86" s="223" t="s">
        <v>203</v>
      </c>
      <c r="C86" s="222" t="s">
        <v>319</v>
      </c>
    </row>
    <row r="87" spans="1:3" ht="13.5" thickBot="1" x14ac:dyDescent="0.25">
      <c r="A87" s="130">
        <v>86</v>
      </c>
      <c r="B87" s="223" t="s">
        <v>312</v>
      </c>
      <c r="C87" s="222" t="s">
        <v>319</v>
      </c>
    </row>
    <row r="88" spans="1:3" ht="13.5" thickBot="1" x14ac:dyDescent="0.25">
      <c r="A88" s="130">
        <v>87</v>
      </c>
      <c r="B88" s="223" t="s">
        <v>209</v>
      </c>
      <c r="C88" s="222" t="s">
        <v>319</v>
      </c>
    </row>
    <row r="89" spans="1:3" ht="13.5" thickBot="1" x14ac:dyDescent="0.25">
      <c r="A89" s="130">
        <v>88</v>
      </c>
      <c r="B89" s="223" t="s">
        <v>212</v>
      </c>
      <c r="C89" s="222" t="s">
        <v>319</v>
      </c>
    </row>
    <row r="90" spans="1:3" ht="13.5" thickBot="1" x14ac:dyDescent="0.25">
      <c r="A90" s="130">
        <v>89</v>
      </c>
      <c r="B90" s="223" t="s">
        <v>214</v>
      </c>
      <c r="C90" s="222" t="s">
        <v>319</v>
      </c>
    </row>
    <row r="91" spans="1:3" ht="13.5" thickBot="1" x14ac:dyDescent="0.25">
      <c r="A91" s="130">
        <v>90</v>
      </c>
      <c r="B91" s="223" t="s">
        <v>231</v>
      </c>
      <c r="C91" s="134" t="s">
        <v>332</v>
      </c>
    </row>
    <row r="92" spans="1:3" ht="13.5" thickBot="1" x14ac:dyDescent="0.25">
      <c r="A92" s="130">
        <v>91</v>
      </c>
      <c r="B92" s="223" t="s">
        <v>232</v>
      </c>
      <c r="C92" s="134" t="s">
        <v>332</v>
      </c>
    </row>
    <row r="93" spans="1:3" ht="13.5" thickBot="1" x14ac:dyDescent="0.25">
      <c r="A93" s="130">
        <v>92</v>
      </c>
      <c r="B93" s="223" t="s">
        <v>220</v>
      </c>
      <c r="C93" s="222" t="s">
        <v>319</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H119"/>
  <sheetViews>
    <sheetView topLeftCell="A53" workbookViewId="0">
      <selection activeCell="G62" sqref="G62"/>
    </sheetView>
  </sheetViews>
  <sheetFormatPr baseColWidth="10" defaultRowHeight="15" x14ac:dyDescent="0.25"/>
  <cols>
    <col min="1" max="2" width="11.42578125" style="86"/>
    <col min="3" max="3" width="61.7109375" style="86" customWidth="1"/>
    <col min="4" max="4" width="11.42578125" style="86"/>
    <col min="5" max="5" width="17.85546875" style="115" bestFit="1" customWidth="1"/>
    <col min="6" max="8" width="16.7109375" style="115" bestFit="1" customWidth="1"/>
    <col min="9" max="16384" width="11.42578125" style="86"/>
  </cols>
  <sheetData>
    <row r="1" spans="2:8" ht="154.15" customHeight="1" x14ac:dyDescent="0.25">
      <c r="B1" s="316"/>
      <c r="C1" s="316"/>
      <c r="D1" s="316"/>
      <c r="E1" s="316"/>
      <c r="F1" s="316"/>
      <c r="G1" s="316"/>
      <c r="H1" s="316"/>
    </row>
    <row r="2" spans="2:8" ht="15.75" thickBot="1" x14ac:dyDescent="0.3"/>
    <row r="3" spans="2:8" x14ac:dyDescent="0.25">
      <c r="B3" s="317" t="s">
        <v>0</v>
      </c>
      <c r="C3" s="317" t="s">
        <v>234</v>
      </c>
      <c r="D3" s="87" t="s">
        <v>235</v>
      </c>
      <c r="E3" s="319" t="s">
        <v>236</v>
      </c>
      <c r="F3" s="319" t="s">
        <v>237</v>
      </c>
      <c r="G3" s="321" t="s">
        <v>238</v>
      </c>
      <c r="H3" s="321" t="s">
        <v>239</v>
      </c>
    </row>
    <row r="4" spans="2:8" ht="23.25" thickBot="1" x14ac:dyDescent="0.3">
      <c r="B4" s="318"/>
      <c r="C4" s="318"/>
      <c r="D4" s="88" t="s">
        <v>240</v>
      </c>
      <c r="E4" s="320"/>
      <c r="F4" s="320"/>
      <c r="G4" s="322"/>
      <c r="H4" s="322"/>
    </row>
    <row r="5" spans="2:8" ht="15.75" thickBot="1" x14ac:dyDescent="0.3">
      <c r="B5" s="89">
        <v>1</v>
      </c>
      <c r="C5" s="90" t="s">
        <v>228</v>
      </c>
      <c r="D5" s="90">
        <v>1</v>
      </c>
      <c r="E5" s="116">
        <v>554621.84873949585</v>
      </c>
      <c r="F5" s="116">
        <f>+E5*19%</f>
        <v>105378.15126050421</v>
      </c>
      <c r="G5" s="116">
        <f>E5+F5</f>
        <v>660000</v>
      </c>
      <c r="H5" s="117">
        <f>+G5*D5</f>
        <v>660000</v>
      </c>
    </row>
    <row r="6" spans="2:8" ht="15.75" thickBot="1" x14ac:dyDescent="0.3">
      <c r="B6" s="89">
        <v>2</v>
      </c>
      <c r="C6" s="90" t="s">
        <v>79</v>
      </c>
      <c r="D6" s="90">
        <v>1</v>
      </c>
      <c r="E6" s="116">
        <v>1747058.8235294118</v>
      </c>
      <c r="F6" s="116">
        <f t="shared" ref="F6:F69" si="0">+E6*19%</f>
        <v>331941.17647058825</v>
      </c>
      <c r="G6" s="116">
        <f t="shared" ref="G6:G69" si="1">E6+F6</f>
        <v>2079000</v>
      </c>
      <c r="H6" s="117">
        <f t="shared" ref="H6:H69" si="2">+G6*D6</f>
        <v>2079000</v>
      </c>
    </row>
    <row r="7" spans="2:8" ht="15.75" thickBot="1" x14ac:dyDescent="0.3">
      <c r="B7" s="89">
        <v>3</v>
      </c>
      <c r="C7" s="90" t="s">
        <v>241</v>
      </c>
      <c r="D7" s="90">
        <v>1</v>
      </c>
      <c r="E7" s="116">
        <v>12352941.176470589</v>
      </c>
      <c r="F7" s="116">
        <f t="shared" si="0"/>
        <v>2347058.823529412</v>
      </c>
      <c r="G7" s="116">
        <f t="shared" si="1"/>
        <v>14700000</v>
      </c>
      <c r="H7" s="117">
        <f t="shared" si="2"/>
        <v>14700000</v>
      </c>
    </row>
    <row r="8" spans="2:8" ht="15.75" thickBot="1" x14ac:dyDescent="0.3">
      <c r="B8" s="89">
        <v>4</v>
      </c>
      <c r="C8" s="90" t="s">
        <v>75</v>
      </c>
      <c r="D8" s="90">
        <v>1</v>
      </c>
      <c r="E8" s="116">
        <v>332773.10924369749</v>
      </c>
      <c r="F8" s="116">
        <f t="shared" si="0"/>
        <v>63226.89075630252</v>
      </c>
      <c r="G8" s="116">
        <f t="shared" si="1"/>
        <v>396000</v>
      </c>
      <c r="H8" s="117">
        <f t="shared" si="2"/>
        <v>396000</v>
      </c>
    </row>
    <row r="9" spans="2:8" ht="15.75" thickBot="1" x14ac:dyDescent="0.3">
      <c r="B9" s="89">
        <v>5</v>
      </c>
      <c r="C9" s="90" t="s">
        <v>167</v>
      </c>
      <c r="D9" s="90">
        <v>1</v>
      </c>
      <c r="E9" s="116">
        <v>4707983.1932773115</v>
      </c>
      <c r="F9" s="116">
        <f t="shared" si="0"/>
        <v>894516.80672268919</v>
      </c>
      <c r="G9" s="116">
        <f t="shared" si="1"/>
        <v>5602500.0000000009</v>
      </c>
      <c r="H9" s="117">
        <f t="shared" si="2"/>
        <v>5602500.0000000009</v>
      </c>
    </row>
    <row r="10" spans="2:8" ht="15.75" thickBot="1" x14ac:dyDescent="0.3">
      <c r="B10" s="89">
        <v>6</v>
      </c>
      <c r="C10" s="90" t="s">
        <v>242</v>
      </c>
      <c r="D10" s="90">
        <v>1</v>
      </c>
      <c r="E10" s="116">
        <v>239243.69747899161</v>
      </c>
      <c r="F10" s="116">
        <f t="shared" si="0"/>
        <v>45456.302521008409</v>
      </c>
      <c r="G10" s="116">
        <f t="shared" si="1"/>
        <v>284700</v>
      </c>
      <c r="H10" s="117">
        <f t="shared" si="2"/>
        <v>284700</v>
      </c>
    </row>
    <row r="11" spans="2:8" ht="15.75" thickBot="1" x14ac:dyDescent="0.3">
      <c r="B11" s="89">
        <v>7</v>
      </c>
      <c r="C11" s="90" t="s">
        <v>43</v>
      </c>
      <c r="D11" s="90">
        <v>1</v>
      </c>
      <c r="E11" s="116">
        <v>234032.77310924372</v>
      </c>
      <c r="F11" s="116">
        <f t="shared" si="0"/>
        <v>44466.226890756305</v>
      </c>
      <c r="G11" s="116">
        <f t="shared" si="1"/>
        <v>278499</v>
      </c>
      <c r="H11" s="117">
        <f t="shared" si="2"/>
        <v>278499</v>
      </c>
    </row>
    <row r="12" spans="2:8" ht="23.25" thickBot="1" x14ac:dyDescent="0.3">
      <c r="B12" s="89">
        <v>8</v>
      </c>
      <c r="C12" s="95" t="s">
        <v>243</v>
      </c>
      <c r="D12" s="90">
        <v>1</v>
      </c>
      <c r="E12" s="116">
        <v>5518.4873949579833</v>
      </c>
      <c r="F12" s="116">
        <f t="shared" si="0"/>
        <v>1048.5126050420167</v>
      </c>
      <c r="G12" s="116">
        <f t="shared" si="1"/>
        <v>6567</v>
      </c>
      <c r="H12" s="117">
        <f t="shared" si="2"/>
        <v>6567</v>
      </c>
    </row>
    <row r="13" spans="2:8" ht="15.75" thickBot="1" x14ac:dyDescent="0.3">
      <c r="B13" s="89">
        <v>9</v>
      </c>
      <c r="C13" s="90" t="s">
        <v>244</v>
      </c>
      <c r="D13" s="90">
        <v>1</v>
      </c>
      <c r="E13" s="116">
        <v>6442184.8739495799</v>
      </c>
      <c r="F13" s="116">
        <f t="shared" si="0"/>
        <v>1224015.1260504201</v>
      </c>
      <c r="G13" s="116">
        <f t="shared" si="1"/>
        <v>7666200</v>
      </c>
      <c r="H13" s="117">
        <f t="shared" si="2"/>
        <v>7666200</v>
      </c>
    </row>
    <row r="14" spans="2:8" ht="15.75" thickBot="1" x14ac:dyDescent="0.3">
      <c r="B14" s="89">
        <v>10</v>
      </c>
      <c r="C14" s="90" t="s">
        <v>245</v>
      </c>
      <c r="D14" s="90">
        <v>1</v>
      </c>
      <c r="E14" s="116">
        <v>163865.5462184874</v>
      </c>
      <c r="F14" s="116">
        <f t="shared" si="0"/>
        <v>31134.453781512606</v>
      </c>
      <c r="G14" s="116">
        <f t="shared" si="1"/>
        <v>195000</v>
      </c>
      <c r="H14" s="117">
        <f t="shared" si="2"/>
        <v>195000</v>
      </c>
    </row>
    <row r="15" spans="2:8" ht="15.75" thickBot="1" x14ac:dyDescent="0.3">
      <c r="B15" s="89">
        <v>11</v>
      </c>
      <c r="C15" s="90" t="s">
        <v>246</v>
      </c>
      <c r="D15" s="90">
        <v>1</v>
      </c>
      <c r="E15" s="116">
        <v>260924.36974789918</v>
      </c>
      <c r="F15" s="116">
        <f t="shared" si="0"/>
        <v>49575.630252100847</v>
      </c>
      <c r="G15" s="116">
        <f t="shared" si="1"/>
        <v>310500</v>
      </c>
      <c r="H15" s="117">
        <f t="shared" si="2"/>
        <v>310500</v>
      </c>
    </row>
    <row r="16" spans="2:8" ht="15.75" thickBot="1" x14ac:dyDescent="0.3">
      <c r="B16" s="89">
        <v>12</v>
      </c>
      <c r="C16" s="90" t="s">
        <v>149</v>
      </c>
      <c r="D16" s="90">
        <v>1</v>
      </c>
      <c r="E16" s="116">
        <v>784023.5294117647</v>
      </c>
      <c r="F16" s="116">
        <f t="shared" si="0"/>
        <v>148964.4705882353</v>
      </c>
      <c r="G16" s="116">
        <f t="shared" si="1"/>
        <v>932988</v>
      </c>
      <c r="H16" s="117">
        <f t="shared" si="2"/>
        <v>932988</v>
      </c>
    </row>
    <row r="17" spans="2:8" ht="15.75" thickBot="1" x14ac:dyDescent="0.3">
      <c r="B17" s="89">
        <v>13</v>
      </c>
      <c r="C17" s="90" t="s">
        <v>227</v>
      </c>
      <c r="D17" s="90">
        <v>1</v>
      </c>
      <c r="E17" s="116">
        <v>2016554.6218487397</v>
      </c>
      <c r="F17" s="116">
        <f t="shared" si="0"/>
        <v>383145.37815126055</v>
      </c>
      <c r="G17" s="116">
        <f t="shared" si="1"/>
        <v>2399700</v>
      </c>
      <c r="H17" s="117">
        <f t="shared" si="2"/>
        <v>2399700</v>
      </c>
    </row>
    <row r="18" spans="2:8" ht="15.75" thickBot="1" x14ac:dyDescent="0.3">
      <c r="B18" s="89">
        <v>14</v>
      </c>
      <c r="C18" s="90" t="s">
        <v>247</v>
      </c>
      <c r="D18" s="90">
        <v>1</v>
      </c>
      <c r="E18" s="116">
        <v>704369.74789915967</v>
      </c>
      <c r="F18" s="116">
        <f t="shared" si="0"/>
        <v>133830.25210084033</v>
      </c>
      <c r="G18" s="116">
        <f t="shared" si="1"/>
        <v>838200</v>
      </c>
      <c r="H18" s="117">
        <f t="shared" si="2"/>
        <v>838200</v>
      </c>
    </row>
    <row r="19" spans="2:8" ht="15.75" thickBot="1" x14ac:dyDescent="0.3">
      <c r="B19" s="89">
        <v>15</v>
      </c>
      <c r="C19" s="90" t="s">
        <v>233</v>
      </c>
      <c r="D19" s="90">
        <v>1</v>
      </c>
      <c r="E19" s="116">
        <v>9365294.1176470593</v>
      </c>
      <c r="F19" s="116">
        <f t="shared" si="0"/>
        <v>1779405.8823529412</v>
      </c>
      <c r="G19" s="116">
        <f t="shared" si="1"/>
        <v>11144700</v>
      </c>
      <c r="H19" s="117">
        <f t="shared" si="2"/>
        <v>11144700</v>
      </c>
    </row>
    <row r="20" spans="2:8" ht="15.75" thickBot="1" x14ac:dyDescent="0.3">
      <c r="B20" s="89">
        <v>16</v>
      </c>
      <c r="C20" s="90" t="s">
        <v>248</v>
      </c>
      <c r="D20" s="90">
        <v>1</v>
      </c>
      <c r="E20" s="116">
        <v>268235.29411764705</v>
      </c>
      <c r="F20" s="116">
        <f t="shared" si="0"/>
        <v>50964.705882352937</v>
      </c>
      <c r="G20" s="116">
        <f t="shared" si="1"/>
        <v>319200</v>
      </c>
      <c r="H20" s="117">
        <f t="shared" si="2"/>
        <v>319200</v>
      </c>
    </row>
    <row r="21" spans="2:8" ht="15.75" thickBot="1" x14ac:dyDescent="0.3">
      <c r="B21" s="89">
        <v>17</v>
      </c>
      <c r="C21" s="90" t="s">
        <v>29</v>
      </c>
      <c r="D21" s="90">
        <v>1</v>
      </c>
      <c r="E21" s="116">
        <v>4144285.7142857146</v>
      </c>
      <c r="F21" s="116">
        <f t="shared" si="0"/>
        <v>787414.2857142858</v>
      </c>
      <c r="G21" s="116">
        <f t="shared" si="1"/>
        <v>4931700</v>
      </c>
      <c r="H21" s="117">
        <f t="shared" si="2"/>
        <v>4931700</v>
      </c>
    </row>
    <row r="22" spans="2:8" ht="15.75" thickBot="1" x14ac:dyDescent="0.3">
      <c r="B22" s="89">
        <v>18</v>
      </c>
      <c r="C22" s="90" t="s">
        <v>201</v>
      </c>
      <c r="D22" s="90">
        <v>1</v>
      </c>
      <c r="E22" s="116">
        <v>100840.33613445378</v>
      </c>
      <c r="F22" s="116">
        <f t="shared" si="0"/>
        <v>19159.663865546219</v>
      </c>
      <c r="G22" s="116">
        <f t="shared" si="1"/>
        <v>120000</v>
      </c>
      <c r="H22" s="117">
        <f t="shared" si="2"/>
        <v>120000</v>
      </c>
    </row>
    <row r="23" spans="2:8" ht="15.75" thickBot="1" x14ac:dyDescent="0.3">
      <c r="B23" s="89">
        <v>19</v>
      </c>
      <c r="C23" s="90" t="s">
        <v>249</v>
      </c>
      <c r="D23" s="90">
        <v>1</v>
      </c>
      <c r="E23" s="116">
        <v>115941.17647058824</v>
      </c>
      <c r="F23" s="116">
        <f t="shared" si="0"/>
        <v>22028.823529411766</v>
      </c>
      <c r="G23" s="116">
        <f t="shared" si="1"/>
        <v>137970</v>
      </c>
      <c r="H23" s="117">
        <f t="shared" si="2"/>
        <v>137970</v>
      </c>
    </row>
    <row r="24" spans="2:8" ht="23.25" thickBot="1" x14ac:dyDescent="0.3">
      <c r="B24" s="89">
        <v>20</v>
      </c>
      <c r="C24" s="95" t="s">
        <v>250</v>
      </c>
      <c r="D24" s="90">
        <v>1</v>
      </c>
      <c r="E24" s="116">
        <v>1757553.781512605</v>
      </c>
      <c r="F24" s="116">
        <f t="shared" si="0"/>
        <v>333935.21848739497</v>
      </c>
      <c r="G24" s="116">
        <f t="shared" si="1"/>
        <v>2091489</v>
      </c>
      <c r="H24" s="117">
        <f t="shared" si="2"/>
        <v>2091489</v>
      </c>
    </row>
    <row r="25" spans="2:8" ht="15.75" thickBot="1" x14ac:dyDescent="0.3">
      <c r="B25" s="89">
        <v>21</v>
      </c>
      <c r="C25" s="90" t="s">
        <v>251</v>
      </c>
      <c r="D25" s="90">
        <v>1</v>
      </c>
      <c r="E25" s="116">
        <v>1237563.0252100842</v>
      </c>
      <c r="F25" s="116">
        <f t="shared" si="0"/>
        <v>235136.97478991598</v>
      </c>
      <c r="G25" s="116">
        <f t="shared" si="1"/>
        <v>1472700.0000000002</v>
      </c>
      <c r="H25" s="117">
        <f t="shared" si="2"/>
        <v>1472700.0000000002</v>
      </c>
    </row>
    <row r="26" spans="2:8" ht="34.5" thickBot="1" x14ac:dyDescent="0.3">
      <c r="B26" s="89">
        <v>22</v>
      </c>
      <c r="C26" s="95" t="s">
        <v>252</v>
      </c>
      <c r="D26" s="90">
        <v>1</v>
      </c>
      <c r="E26" s="116">
        <v>106890.75630252101</v>
      </c>
      <c r="F26" s="116">
        <f t="shared" si="0"/>
        <v>20309.243697478993</v>
      </c>
      <c r="G26" s="116">
        <f t="shared" si="1"/>
        <v>127200</v>
      </c>
      <c r="H26" s="117">
        <f t="shared" si="2"/>
        <v>127200</v>
      </c>
    </row>
    <row r="27" spans="2:8" ht="15.75" thickBot="1" x14ac:dyDescent="0.3">
      <c r="B27" s="89">
        <v>23</v>
      </c>
      <c r="C27" s="90" t="s">
        <v>253</v>
      </c>
      <c r="D27" s="90">
        <v>1</v>
      </c>
      <c r="E27" s="116">
        <v>1305630.2521008404</v>
      </c>
      <c r="F27" s="116">
        <f t="shared" si="0"/>
        <v>248069.74789915967</v>
      </c>
      <c r="G27" s="116">
        <f t="shared" si="1"/>
        <v>1553700</v>
      </c>
      <c r="H27" s="117">
        <f t="shared" si="2"/>
        <v>1553700</v>
      </c>
    </row>
    <row r="28" spans="2:8" ht="15.75" thickBot="1" x14ac:dyDescent="0.3">
      <c r="B28" s="89">
        <v>24</v>
      </c>
      <c r="C28" s="90" t="s">
        <v>254</v>
      </c>
      <c r="D28" s="90">
        <v>1</v>
      </c>
      <c r="E28" s="116">
        <v>839243.69747899158</v>
      </c>
      <c r="F28" s="116">
        <f t="shared" si="0"/>
        <v>159456.30252100842</v>
      </c>
      <c r="G28" s="116">
        <f t="shared" si="1"/>
        <v>998700</v>
      </c>
      <c r="H28" s="117">
        <f t="shared" si="2"/>
        <v>998700</v>
      </c>
    </row>
    <row r="29" spans="2:8" ht="15.75" thickBot="1" x14ac:dyDescent="0.3">
      <c r="B29" s="89">
        <v>25</v>
      </c>
      <c r="C29" s="90" t="s">
        <v>255</v>
      </c>
      <c r="D29" s="90">
        <v>1</v>
      </c>
      <c r="E29" s="116">
        <v>3347647.0588235296</v>
      </c>
      <c r="F29" s="116">
        <f t="shared" si="0"/>
        <v>636052.9411764706</v>
      </c>
      <c r="G29" s="116">
        <f t="shared" si="1"/>
        <v>3983700</v>
      </c>
      <c r="H29" s="117">
        <f t="shared" si="2"/>
        <v>3983700</v>
      </c>
    </row>
    <row r="30" spans="2:8" ht="15.75" thickBot="1" x14ac:dyDescent="0.3">
      <c r="B30" s="89">
        <v>26</v>
      </c>
      <c r="C30" s="90" t="s">
        <v>256</v>
      </c>
      <c r="D30" s="90">
        <v>1</v>
      </c>
      <c r="E30" s="116">
        <v>932521.00840336143</v>
      </c>
      <c r="F30" s="116">
        <f t="shared" si="0"/>
        <v>177178.99159663866</v>
      </c>
      <c r="G30" s="116">
        <f t="shared" si="1"/>
        <v>1109700</v>
      </c>
      <c r="H30" s="117">
        <f t="shared" si="2"/>
        <v>1109700</v>
      </c>
    </row>
    <row r="31" spans="2:8" ht="15.75" thickBot="1" x14ac:dyDescent="0.3">
      <c r="B31" s="89">
        <v>27</v>
      </c>
      <c r="C31" s="90" t="s">
        <v>257</v>
      </c>
      <c r="D31" s="90">
        <v>1</v>
      </c>
      <c r="E31" s="116">
        <v>2520756.3025210085</v>
      </c>
      <c r="F31" s="116">
        <f t="shared" si="0"/>
        <v>478943.69747899164</v>
      </c>
      <c r="G31" s="116">
        <f t="shared" si="1"/>
        <v>2999700</v>
      </c>
      <c r="H31" s="117">
        <f t="shared" si="2"/>
        <v>2999700</v>
      </c>
    </row>
    <row r="32" spans="2:8" ht="15.75" thickBot="1" x14ac:dyDescent="0.3">
      <c r="B32" s="89">
        <v>28</v>
      </c>
      <c r="C32" s="90" t="s">
        <v>89</v>
      </c>
      <c r="D32" s="90">
        <v>1</v>
      </c>
      <c r="E32" s="116">
        <v>24957.983193277312</v>
      </c>
      <c r="F32" s="116">
        <f t="shared" si="0"/>
        <v>4742.0168067226896</v>
      </c>
      <c r="G32" s="116">
        <f t="shared" si="1"/>
        <v>29700</v>
      </c>
      <c r="H32" s="117">
        <f t="shared" si="2"/>
        <v>29700</v>
      </c>
    </row>
    <row r="33" spans="2:8" ht="15.75" thickBot="1" x14ac:dyDescent="0.3">
      <c r="B33" s="89">
        <v>29</v>
      </c>
      <c r="C33" s="90" t="s">
        <v>258</v>
      </c>
      <c r="D33" s="90">
        <v>1</v>
      </c>
      <c r="E33" s="116">
        <v>74354.621848739494</v>
      </c>
      <c r="F33" s="116">
        <f t="shared" si="0"/>
        <v>14127.378151260504</v>
      </c>
      <c r="G33" s="116">
        <f t="shared" si="1"/>
        <v>88482</v>
      </c>
      <c r="H33" s="117">
        <f t="shared" si="2"/>
        <v>88482</v>
      </c>
    </row>
    <row r="34" spans="2:8" ht="15.75" thickBot="1" x14ac:dyDescent="0.3">
      <c r="B34" s="89">
        <v>30</v>
      </c>
      <c r="C34" s="90" t="s">
        <v>259</v>
      </c>
      <c r="D34" s="90">
        <v>1</v>
      </c>
      <c r="E34" s="116">
        <v>579579.83193277312</v>
      </c>
      <c r="F34" s="116">
        <f t="shared" si="0"/>
        <v>110120.1680672269</v>
      </c>
      <c r="G34" s="116">
        <f t="shared" si="1"/>
        <v>689700</v>
      </c>
      <c r="H34" s="117">
        <f t="shared" si="2"/>
        <v>689700</v>
      </c>
    </row>
    <row r="35" spans="2:8" ht="15.75" thickBot="1" x14ac:dyDescent="0.3">
      <c r="B35" s="89">
        <v>31</v>
      </c>
      <c r="C35" s="90" t="s">
        <v>260</v>
      </c>
      <c r="D35" s="90">
        <v>1</v>
      </c>
      <c r="E35" s="116">
        <v>815606.72268907563</v>
      </c>
      <c r="F35" s="116">
        <f t="shared" si="0"/>
        <v>154965.27731092437</v>
      </c>
      <c r="G35" s="116">
        <f t="shared" si="1"/>
        <v>970572</v>
      </c>
      <c r="H35" s="117">
        <f t="shared" si="2"/>
        <v>970572</v>
      </c>
    </row>
    <row r="36" spans="2:8" ht="15.75" thickBot="1" x14ac:dyDescent="0.3">
      <c r="B36" s="89">
        <v>32</v>
      </c>
      <c r="C36" s="90" t="s">
        <v>259</v>
      </c>
      <c r="D36" s="90">
        <v>1</v>
      </c>
      <c r="E36" s="116">
        <v>463613.44537815126</v>
      </c>
      <c r="F36" s="116">
        <f t="shared" si="0"/>
        <v>88086.554621848743</v>
      </c>
      <c r="G36" s="116">
        <f t="shared" si="1"/>
        <v>551700</v>
      </c>
      <c r="H36" s="117">
        <f t="shared" si="2"/>
        <v>551700</v>
      </c>
    </row>
    <row r="37" spans="2:8" ht="15.75" thickBot="1" x14ac:dyDescent="0.3">
      <c r="B37" s="89">
        <v>33</v>
      </c>
      <c r="C37" s="90" t="s">
        <v>261</v>
      </c>
      <c r="D37" s="90">
        <v>1</v>
      </c>
      <c r="E37" s="116">
        <v>675378.15126050427</v>
      </c>
      <c r="F37" s="116">
        <f t="shared" si="0"/>
        <v>128321.84873949581</v>
      </c>
      <c r="G37" s="116">
        <f t="shared" si="1"/>
        <v>803700.00000000012</v>
      </c>
      <c r="H37" s="117">
        <f t="shared" si="2"/>
        <v>803700.00000000012</v>
      </c>
    </row>
    <row r="38" spans="2:8" ht="15.75" thickBot="1" x14ac:dyDescent="0.3">
      <c r="B38" s="89">
        <v>34</v>
      </c>
      <c r="C38" s="90" t="s">
        <v>262</v>
      </c>
      <c r="D38" s="90">
        <v>1</v>
      </c>
      <c r="E38" s="116">
        <v>1108991.5966386555</v>
      </c>
      <c r="F38" s="116">
        <f t="shared" si="0"/>
        <v>210708.40336134456</v>
      </c>
      <c r="G38" s="116">
        <f t="shared" si="1"/>
        <v>1319700</v>
      </c>
      <c r="H38" s="117">
        <f t="shared" si="2"/>
        <v>1319700</v>
      </c>
    </row>
    <row r="39" spans="2:8" ht="15.75" thickBot="1" x14ac:dyDescent="0.3">
      <c r="B39" s="89">
        <v>35</v>
      </c>
      <c r="C39" s="90" t="s">
        <v>41</v>
      </c>
      <c r="D39" s="90">
        <v>1</v>
      </c>
      <c r="E39" s="116">
        <v>3403361.3445378151</v>
      </c>
      <c r="F39" s="116">
        <f t="shared" si="0"/>
        <v>646638.65546218492</v>
      </c>
      <c r="G39" s="116">
        <f t="shared" si="1"/>
        <v>4050000</v>
      </c>
      <c r="H39" s="117">
        <f t="shared" si="2"/>
        <v>4050000</v>
      </c>
    </row>
    <row r="40" spans="2:8" ht="15.75" thickBot="1" x14ac:dyDescent="0.3">
      <c r="B40" s="89">
        <v>36</v>
      </c>
      <c r="C40" s="90" t="s">
        <v>39</v>
      </c>
      <c r="D40" s="90">
        <v>1</v>
      </c>
      <c r="E40" s="116">
        <v>6428571.4285714291</v>
      </c>
      <c r="F40" s="116">
        <f t="shared" si="0"/>
        <v>1221428.5714285716</v>
      </c>
      <c r="G40" s="116">
        <f t="shared" si="1"/>
        <v>7650000.0000000009</v>
      </c>
      <c r="H40" s="117">
        <f t="shared" si="2"/>
        <v>7650000.0000000009</v>
      </c>
    </row>
    <row r="41" spans="2:8" ht="23.25" thickBot="1" x14ac:dyDescent="0.3">
      <c r="B41" s="89">
        <v>37</v>
      </c>
      <c r="C41" s="95" t="s">
        <v>263</v>
      </c>
      <c r="D41" s="90">
        <v>1</v>
      </c>
      <c r="E41" s="116">
        <v>5891571.4285714291</v>
      </c>
      <c r="F41" s="116">
        <f t="shared" si="0"/>
        <v>1119398.5714285716</v>
      </c>
      <c r="G41" s="116">
        <f t="shared" si="1"/>
        <v>7010970.0000000009</v>
      </c>
      <c r="H41" s="117">
        <f t="shared" si="2"/>
        <v>7010970.0000000009</v>
      </c>
    </row>
    <row r="42" spans="2:8" ht="15.75" thickBot="1" x14ac:dyDescent="0.3">
      <c r="B42" s="89">
        <v>38</v>
      </c>
      <c r="C42" s="96" t="s">
        <v>181</v>
      </c>
      <c r="D42" s="90">
        <v>1</v>
      </c>
      <c r="E42" s="116">
        <v>440924.36974789918</v>
      </c>
      <c r="F42" s="116">
        <f t="shared" si="0"/>
        <v>83775.630252100847</v>
      </c>
      <c r="G42" s="116">
        <f t="shared" si="1"/>
        <v>524700</v>
      </c>
      <c r="H42" s="117">
        <f t="shared" si="2"/>
        <v>524700</v>
      </c>
    </row>
    <row r="43" spans="2:8" ht="26.25" thickBot="1" x14ac:dyDescent="0.3">
      <c r="B43" s="89">
        <v>39</v>
      </c>
      <c r="C43" s="97" t="s">
        <v>264</v>
      </c>
      <c r="D43" s="90">
        <v>1</v>
      </c>
      <c r="E43" s="116">
        <v>4285462.1848739497</v>
      </c>
      <c r="F43" s="116">
        <f t="shared" si="0"/>
        <v>814237.8151260505</v>
      </c>
      <c r="G43" s="116">
        <f t="shared" si="1"/>
        <v>5099700</v>
      </c>
      <c r="H43" s="117">
        <f t="shared" si="2"/>
        <v>5099700</v>
      </c>
    </row>
    <row r="44" spans="2:8" ht="15.75" thickBot="1" x14ac:dyDescent="0.3">
      <c r="B44" s="89">
        <v>40</v>
      </c>
      <c r="C44" s="96" t="s">
        <v>265</v>
      </c>
      <c r="D44" s="90">
        <v>1</v>
      </c>
      <c r="E44" s="116">
        <v>2175378.1512605045</v>
      </c>
      <c r="F44" s="116">
        <f t="shared" si="0"/>
        <v>413321.84873949585</v>
      </c>
      <c r="G44" s="116">
        <f t="shared" si="1"/>
        <v>2588700.0000000005</v>
      </c>
      <c r="H44" s="117">
        <f t="shared" si="2"/>
        <v>2588700.0000000005</v>
      </c>
    </row>
    <row r="45" spans="2:8" ht="26.25" thickBot="1" x14ac:dyDescent="0.3">
      <c r="B45" s="89">
        <v>41</v>
      </c>
      <c r="C45" s="96" t="s">
        <v>266</v>
      </c>
      <c r="D45" s="90">
        <v>1</v>
      </c>
      <c r="E45" s="116">
        <v>723277.31092436973</v>
      </c>
      <c r="F45" s="116">
        <f t="shared" si="0"/>
        <v>137422.68907563025</v>
      </c>
      <c r="G45" s="116">
        <f t="shared" si="1"/>
        <v>860700</v>
      </c>
      <c r="H45" s="117">
        <f t="shared" si="2"/>
        <v>860700</v>
      </c>
    </row>
    <row r="46" spans="2:8" ht="15.75" thickBot="1" x14ac:dyDescent="0.3">
      <c r="B46" s="89">
        <v>42</v>
      </c>
      <c r="C46" s="96" t="s">
        <v>65</v>
      </c>
      <c r="D46" s="90">
        <v>1</v>
      </c>
      <c r="E46" s="116">
        <v>1070924.3697478992</v>
      </c>
      <c r="F46" s="116">
        <f t="shared" si="0"/>
        <v>203475.63025210085</v>
      </c>
      <c r="G46" s="116">
        <f t="shared" si="1"/>
        <v>1274400</v>
      </c>
      <c r="H46" s="117">
        <f t="shared" si="2"/>
        <v>1274400</v>
      </c>
    </row>
    <row r="47" spans="2:8" ht="15.75" thickBot="1" x14ac:dyDescent="0.3">
      <c r="B47" s="89">
        <v>43</v>
      </c>
      <c r="C47" s="96" t="s">
        <v>198</v>
      </c>
      <c r="D47" s="90">
        <v>1</v>
      </c>
      <c r="E47" s="116">
        <v>214033.61344537817</v>
      </c>
      <c r="F47" s="116">
        <f t="shared" si="0"/>
        <v>40666.386554621851</v>
      </c>
      <c r="G47" s="116">
        <f t="shared" si="1"/>
        <v>254700.00000000003</v>
      </c>
      <c r="H47" s="117">
        <f t="shared" si="2"/>
        <v>254700.00000000003</v>
      </c>
    </row>
    <row r="48" spans="2:8" ht="15.75" thickBot="1" x14ac:dyDescent="0.3">
      <c r="B48" s="89">
        <v>44</v>
      </c>
      <c r="C48" s="96" t="s">
        <v>267</v>
      </c>
      <c r="D48" s="90">
        <v>1</v>
      </c>
      <c r="E48" s="116">
        <v>335042.01680672268</v>
      </c>
      <c r="F48" s="116">
        <f t="shared" si="0"/>
        <v>63657.983193277309</v>
      </c>
      <c r="G48" s="116">
        <f t="shared" si="1"/>
        <v>398700</v>
      </c>
      <c r="H48" s="117">
        <f t="shared" si="2"/>
        <v>398700</v>
      </c>
    </row>
    <row r="49" spans="2:8" ht="15.75" thickBot="1" x14ac:dyDescent="0.3">
      <c r="B49" s="89">
        <v>45</v>
      </c>
      <c r="C49" s="96" t="s">
        <v>268</v>
      </c>
      <c r="D49" s="90">
        <v>1</v>
      </c>
      <c r="E49" s="116">
        <v>135882.35294117648</v>
      </c>
      <c r="F49" s="116">
        <f t="shared" si="0"/>
        <v>25817.647058823532</v>
      </c>
      <c r="G49" s="116">
        <f t="shared" si="1"/>
        <v>161700</v>
      </c>
      <c r="H49" s="117">
        <f t="shared" si="2"/>
        <v>161700</v>
      </c>
    </row>
    <row r="50" spans="2:8" ht="15.75" thickBot="1" x14ac:dyDescent="0.3">
      <c r="B50" s="89">
        <v>46</v>
      </c>
      <c r="C50" s="96" t="s">
        <v>269</v>
      </c>
      <c r="D50" s="90">
        <v>1</v>
      </c>
      <c r="E50" s="116">
        <v>849831.93277310929</v>
      </c>
      <c r="F50" s="116">
        <f t="shared" si="0"/>
        <v>161468.06722689077</v>
      </c>
      <c r="G50" s="116">
        <f t="shared" si="1"/>
        <v>1011300</v>
      </c>
      <c r="H50" s="117">
        <f t="shared" si="2"/>
        <v>1011300</v>
      </c>
    </row>
    <row r="51" spans="2:8" ht="15.75" thickBot="1" x14ac:dyDescent="0.3">
      <c r="B51" s="89">
        <v>47</v>
      </c>
      <c r="C51" s="96" t="s">
        <v>270</v>
      </c>
      <c r="D51" s="90">
        <v>1</v>
      </c>
      <c r="E51" s="116">
        <v>166384.03361344538</v>
      </c>
      <c r="F51" s="116">
        <f t="shared" si="0"/>
        <v>31612.966386554624</v>
      </c>
      <c r="G51" s="116">
        <f t="shared" si="1"/>
        <v>197997</v>
      </c>
      <c r="H51" s="117">
        <f t="shared" si="2"/>
        <v>197997</v>
      </c>
    </row>
    <row r="52" spans="2:8" ht="15.75" thickBot="1" x14ac:dyDescent="0.3">
      <c r="B52" s="89">
        <v>48</v>
      </c>
      <c r="C52" s="96" t="s">
        <v>59</v>
      </c>
      <c r="D52" s="90">
        <v>1</v>
      </c>
      <c r="E52" s="116">
        <v>642605.04201680678</v>
      </c>
      <c r="F52" s="116">
        <f t="shared" si="0"/>
        <v>122094.95798319329</v>
      </c>
      <c r="G52" s="116">
        <f t="shared" si="1"/>
        <v>764700.00000000012</v>
      </c>
      <c r="H52" s="117">
        <f t="shared" si="2"/>
        <v>764700.00000000012</v>
      </c>
    </row>
    <row r="53" spans="2:8" ht="15.75" thickBot="1" x14ac:dyDescent="0.3">
      <c r="B53" s="89">
        <v>49</v>
      </c>
      <c r="C53" s="96" t="s">
        <v>271</v>
      </c>
      <c r="D53" s="90">
        <v>1</v>
      </c>
      <c r="E53" s="116">
        <v>109537.81512605042</v>
      </c>
      <c r="F53" s="116">
        <f t="shared" si="0"/>
        <v>20812.18487394958</v>
      </c>
      <c r="G53" s="116">
        <f t="shared" si="1"/>
        <v>130350</v>
      </c>
      <c r="H53" s="117">
        <f t="shared" si="2"/>
        <v>130350</v>
      </c>
    </row>
    <row r="54" spans="2:8" ht="15.75" thickBot="1" x14ac:dyDescent="0.3">
      <c r="B54" s="89">
        <v>50</v>
      </c>
      <c r="C54" s="96" t="s">
        <v>272</v>
      </c>
      <c r="D54" s="90">
        <v>1</v>
      </c>
      <c r="E54" s="116">
        <v>125798.31932773109</v>
      </c>
      <c r="F54" s="116">
        <f t="shared" si="0"/>
        <v>23901.680672268907</v>
      </c>
      <c r="G54" s="116">
        <f t="shared" si="1"/>
        <v>149700</v>
      </c>
      <c r="H54" s="117">
        <f t="shared" si="2"/>
        <v>149700</v>
      </c>
    </row>
    <row r="55" spans="2:8" ht="15.75" thickBot="1" x14ac:dyDescent="0.3">
      <c r="B55" s="89">
        <v>51</v>
      </c>
      <c r="C55" s="96" t="s">
        <v>179</v>
      </c>
      <c r="D55" s="90">
        <v>1</v>
      </c>
      <c r="E55" s="116">
        <v>229159.66386554623</v>
      </c>
      <c r="F55" s="116">
        <f t="shared" si="0"/>
        <v>43540.336134453784</v>
      </c>
      <c r="G55" s="116">
        <f t="shared" si="1"/>
        <v>272700</v>
      </c>
      <c r="H55" s="117">
        <f t="shared" si="2"/>
        <v>272700</v>
      </c>
    </row>
    <row r="56" spans="2:8" ht="15.75" thickBot="1" x14ac:dyDescent="0.3">
      <c r="B56" s="89">
        <v>52</v>
      </c>
      <c r="C56" s="96" t="s">
        <v>126</v>
      </c>
      <c r="D56" s="90">
        <v>1</v>
      </c>
      <c r="E56" s="116">
        <v>95546.218487394959</v>
      </c>
      <c r="F56" s="116">
        <f t="shared" si="0"/>
        <v>18153.781512605041</v>
      </c>
      <c r="G56" s="116">
        <f t="shared" si="1"/>
        <v>113700</v>
      </c>
      <c r="H56" s="117">
        <f t="shared" si="2"/>
        <v>113700</v>
      </c>
    </row>
    <row r="57" spans="2:8" ht="15.75" thickBot="1" x14ac:dyDescent="0.3">
      <c r="B57" s="89">
        <v>53</v>
      </c>
      <c r="C57" s="96" t="s">
        <v>273</v>
      </c>
      <c r="D57" s="90">
        <v>1</v>
      </c>
      <c r="E57" s="116">
        <v>158571.42857142858</v>
      </c>
      <c r="F57" s="116">
        <f t="shared" si="0"/>
        <v>30128.571428571431</v>
      </c>
      <c r="G57" s="116">
        <f t="shared" si="1"/>
        <v>188700</v>
      </c>
      <c r="H57" s="117">
        <f t="shared" si="2"/>
        <v>188700</v>
      </c>
    </row>
    <row r="58" spans="2:8" ht="15.75" thickBot="1" x14ac:dyDescent="0.3">
      <c r="B58" s="89">
        <v>54</v>
      </c>
      <c r="C58" s="96" t="s">
        <v>194</v>
      </c>
      <c r="D58" s="90">
        <v>1</v>
      </c>
      <c r="E58" s="116">
        <v>200200.84033613445</v>
      </c>
      <c r="F58" s="116">
        <f t="shared" si="0"/>
        <v>38038.159663865546</v>
      </c>
      <c r="G58" s="116">
        <f t="shared" si="1"/>
        <v>238239</v>
      </c>
      <c r="H58" s="117">
        <f t="shared" si="2"/>
        <v>238239</v>
      </c>
    </row>
    <row r="59" spans="2:8" ht="15.75" thickBot="1" x14ac:dyDescent="0.3">
      <c r="B59" s="89">
        <v>55</v>
      </c>
      <c r="C59" s="96" t="s">
        <v>274</v>
      </c>
      <c r="D59" s="90">
        <v>1</v>
      </c>
      <c r="E59" s="116">
        <v>1209831.9327731093</v>
      </c>
      <c r="F59" s="116">
        <f t="shared" si="0"/>
        <v>229868.06722689077</v>
      </c>
      <c r="G59" s="116">
        <f t="shared" si="1"/>
        <v>1439700</v>
      </c>
      <c r="H59" s="117">
        <f t="shared" si="2"/>
        <v>1439700</v>
      </c>
    </row>
    <row r="60" spans="2:8" ht="15.75" thickBot="1" x14ac:dyDescent="0.3">
      <c r="B60" s="89">
        <v>56</v>
      </c>
      <c r="C60" s="96" t="s">
        <v>190</v>
      </c>
      <c r="D60" s="90">
        <v>1</v>
      </c>
      <c r="E60" s="116">
        <v>65294.117647058825</v>
      </c>
      <c r="F60" s="116">
        <f t="shared" si="0"/>
        <v>12405.882352941177</v>
      </c>
      <c r="G60" s="116">
        <f t="shared" si="1"/>
        <v>77700</v>
      </c>
      <c r="H60" s="117">
        <f t="shared" si="2"/>
        <v>77700</v>
      </c>
    </row>
    <row r="61" spans="2:8" ht="15.75" thickBot="1" x14ac:dyDescent="0.3">
      <c r="B61" s="89">
        <v>57</v>
      </c>
      <c r="C61" s="96" t="s">
        <v>183</v>
      </c>
      <c r="D61" s="90">
        <v>1</v>
      </c>
      <c r="E61" s="116">
        <v>70336.134453781517</v>
      </c>
      <c r="F61" s="116">
        <f t="shared" si="0"/>
        <v>13363.865546218489</v>
      </c>
      <c r="G61" s="116">
        <f t="shared" si="1"/>
        <v>83700</v>
      </c>
      <c r="H61" s="117">
        <f t="shared" si="2"/>
        <v>83700</v>
      </c>
    </row>
    <row r="62" spans="2:8" ht="15.75" thickBot="1" x14ac:dyDescent="0.3">
      <c r="B62" s="89">
        <v>58</v>
      </c>
      <c r="C62" s="96" t="s">
        <v>220</v>
      </c>
      <c r="D62" s="90">
        <v>1</v>
      </c>
      <c r="E62" s="116">
        <v>181260.50420168068</v>
      </c>
      <c r="F62" s="116">
        <f t="shared" si="0"/>
        <v>34439.495798319331</v>
      </c>
      <c r="G62" s="116">
        <f t="shared" si="1"/>
        <v>215700</v>
      </c>
      <c r="H62" s="117">
        <f t="shared" si="2"/>
        <v>215700</v>
      </c>
    </row>
    <row r="63" spans="2:8" ht="15.75" thickBot="1" x14ac:dyDescent="0.3">
      <c r="B63" s="89">
        <v>59</v>
      </c>
      <c r="C63" s="96" t="s">
        <v>187</v>
      </c>
      <c r="D63" s="90">
        <v>1</v>
      </c>
      <c r="E63" s="116">
        <v>280777.31092436978</v>
      </c>
      <c r="F63" s="116">
        <f t="shared" si="0"/>
        <v>53347.68907563026</v>
      </c>
      <c r="G63" s="116">
        <f t="shared" si="1"/>
        <v>334125.00000000006</v>
      </c>
      <c r="H63" s="117">
        <f t="shared" si="2"/>
        <v>334125.00000000006</v>
      </c>
    </row>
    <row r="64" spans="2:8" ht="15.75" thickBot="1" x14ac:dyDescent="0.3">
      <c r="B64" s="89">
        <v>60</v>
      </c>
      <c r="C64" s="96" t="s">
        <v>63</v>
      </c>
      <c r="D64" s="90">
        <v>1</v>
      </c>
      <c r="E64" s="116">
        <v>100588.23529411765</v>
      </c>
      <c r="F64" s="116">
        <f t="shared" si="0"/>
        <v>19111.764705882353</v>
      </c>
      <c r="G64" s="116">
        <f t="shared" si="1"/>
        <v>119700</v>
      </c>
      <c r="H64" s="117">
        <f t="shared" si="2"/>
        <v>119700</v>
      </c>
    </row>
    <row r="65" spans="2:8" ht="15.75" thickBot="1" x14ac:dyDescent="0.3">
      <c r="B65" s="89">
        <v>61</v>
      </c>
      <c r="C65" s="96" t="s">
        <v>118</v>
      </c>
      <c r="D65" s="90">
        <v>1</v>
      </c>
      <c r="E65" s="116">
        <v>503949.57983193279</v>
      </c>
      <c r="F65" s="116">
        <f t="shared" si="0"/>
        <v>95750.420168067227</v>
      </c>
      <c r="G65" s="116">
        <f t="shared" si="1"/>
        <v>599700</v>
      </c>
      <c r="H65" s="117">
        <f t="shared" si="2"/>
        <v>599700</v>
      </c>
    </row>
    <row r="66" spans="2:8" ht="15.75" thickBot="1" x14ac:dyDescent="0.3">
      <c r="B66" s="89">
        <v>62</v>
      </c>
      <c r="C66" s="96" t="s">
        <v>192</v>
      </c>
      <c r="D66" s="90">
        <v>1</v>
      </c>
      <c r="E66" s="116">
        <v>28991.596638655465</v>
      </c>
      <c r="F66" s="116">
        <f t="shared" si="0"/>
        <v>5508.4033613445381</v>
      </c>
      <c r="G66" s="116">
        <f t="shared" si="1"/>
        <v>34500</v>
      </c>
      <c r="H66" s="117">
        <f t="shared" si="2"/>
        <v>34500</v>
      </c>
    </row>
    <row r="67" spans="2:8" ht="15.75" thickBot="1" x14ac:dyDescent="0.3">
      <c r="B67" s="89">
        <v>63</v>
      </c>
      <c r="C67" s="96" t="s">
        <v>122</v>
      </c>
      <c r="D67" s="90">
        <v>1</v>
      </c>
      <c r="E67" s="116">
        <v>437710.08403361344</v>
      </c>
      <c r="F67" s="116">
        <f t="shared" si="0"/>
        <v>83164.915966386558</v>
      </c>
      <c r="G67" s="116">
        <f t="shared" si="1"/>
        <v>520875</v>
      </c>
      <c r="H67" s="117">
        <f t="shared" si="2"/>
        <v>520875</v>
      </c>
    </row>
    <row r="68" spans="2:8" ht="15.75" thickBot="1" x14ac:dyDescent="0.3">
      <c r="B68" s="89">
        <v>64</v>
      </c>
      <c r="C68" s="96" t="s">
        <v>276</v>
      </c>
      <c r="D68" s="90">
        <v>1</v>
      </c>
      <c r="E68" s="116">
        <v>335042.01680672268</v>
      </c>
      <c r="F68" s="116">
        <f t="shared" si="0"/>
        <v>63657.983193277309</v>
      </c>
      <c r="G68" s="116">
        <f t="shared" si="1"/>
        <v>398700</v>
      </c>
      <c r="H68" s="117">
        <f t="shared" si="2"/>
        <v>398700</v>
      </c>
    </row>
    <row r="69" spans="2:8" ht="15.75" thickBot="1" x14ac:dyDescent="0.3">
      <c r="B69" s="89">
        <v>65</v>
      </c>
      <c r="C69" s="96" t="s">
        <v>277</v>
      </c>
      <c r="D69" s="90">
        <v>1</v>
      </c>
      <c r="E69" s="116">
        <v>82941.176470588238</v>
      </c>
      <c r="F69" s="116">
        <f t="shared" si="0"/>
        <v>15758.823529411766</v>
      </c>
      <c r="G69" s="116">
        <f t="shared" si="1"/>
        <v>98700</v>
      </c>
      <c r="H69" s="117">
        <f t="shared" si="2"/>
        <v>98700</v>
      </c>
    </row>
    <row r="70" spans="2:8" ht="15.75" thickBot="1" x14ac:dyDescent="0.3">
      <c r="B70" s="89">
        <v>66</v>
      </c>
      <c r="C70" s="96" t="s">
        <v>114</v>
      </c>
      <c r="D70" s="90">
        <v>1</v>
      </c>
      <c r="E70" s="116">
        <v>69327.731092436981</v>
      </c>
      <c r="F70" s="116">
        <f t="shared" ref="F70:F110" si="3">+E70*19%</f>
        <v>13172.268907563026</v>
      </c>
      <c r="G70" s="116">
        <f t="shared" ref="G70:G110" si="4">E70+F70</f>
        <v>82500</v>
      </c>
      <c r="H70" s="117">
        <f t="shared" ref="H70:H110" si="5">+G70*D70</f>
        <v>82500</v>
      </c>
    </row>
    <row r="71" spans="2:8" ht="15.75" thickBot="1" x14ac:dyDescent="0.3">
      <c r="B71" s="89">
        <v>67</v>
      </c>
      <c r="C71" s="99" t="s">
        <v>124</v>
      </c>
      <c r="D71" s="90">
        <v>1</v>
      </c>
      <c r="E71" s="116">
        <v>1479579.8319327731</v>
      </c>
      <c r="F71" s="116">
        <f t="shared" si="3"/>
        <v>281120.16806722688</v>
      </c>
      <c r="G71" s="116">
        <f t="shared" si="4"/>
        <v>1760700</v>
      </c>
      <c r="H71" s="117">
        <f t="shared" si="5"/>
        <v>1760700</v>
      </c>
    </row>
    <row r="72" spans="2:8" ht="15.75" thickBot="1" x14ac:dyDescent="0.3">
      <c r="B72" s="89">
        <v>68</v>
      </c>
      <c r="C72" s="96" t="s">
        <v>278</v>
      </c>
      <c r="D72" s="90">
        <v>1</v>
      </c>
      <c r="E72" s="116">
        <v>140924.36974789915</v>
      </c>
      <c r="F72" s="116">
        <f t="shared" si="3"/>
        <v>26775.63025210084</v>
      </c>
      <c r="G72" s="116">
        <f t="shared" si="4"/>
        <v>167700</v>
      </c>
      <c r="H72" s="117">
        <f t="shared" si="5"/>
        <v>167700</v>
      </c>
    </row>
    <row r="73" spans="2:8" ht="15.75" thickBot="1" x14ac:dyDescent="0.3">
      <c r="B73" s="89">
        <v>69</v>
      </c>
      <c r="C73" s="96" t="s">
        <v>130</v>
      </c>
      <c r="D73" s="90">
        <v>1</v>
      </c>
      <c r="E73" s="116">
        <v>5041764.7058823528</v>
      </c>
      <c r="F73" s="116">
        <f t="shared" si="3"/>
        <v>957935.29411764699</v>
      </c>
      <c r="G73" s="116">
        <f t="shared" si="4"/>
        <v>5999700</v>
      </c>
      <c r="H73" s="117">
        <f t="shared" si="5"/>
        <v>5999700</v>
      </c>
    </row>
    <row r="74" spans="2:8" ht="15.75" thickBot="1" x14ac:dyDescent="0.3">
      <c r="B74" s="89">
        <v>70</v>
      </c>
      <c r="C74" s="96" t="s">
        <v>128</v>
      </c>
      <c r="D74" s="90">
        <v>1</v>
      </c>
      <c r="E74" s="116">
        <v>6778991.5966386562</v>
      </c>
      <c r="F74" s="116">
        <f t="shared" si="3"/>
        <v>1288008.4033613447</v>
      </c>
      <c r="G74" s="116">
        <f t="shared" si="4"/>
        <v>8067000.0000000009</v>
      </c>
      <c r="H74" s="117">
        <f t="shared" si="5"/>
        <v>8067000.0000000009</v>
      </c>
    </row>
    <row r="75" spans="2:8" ht="15.75" thickBot="1" x14ac:dyDescent="0.3">
      <c r="B75" s="89">
        <v>71</v>
      </c>
      <c r="C75" s="96" t="s">
        <v>57</v>
      </c>
      <c r="D75" s="90">
        <v>1</v>
      </c>
      <c r="E75" s="116">
        <v>1474789.9159663867</v>
      </c>
      <c r="F75" s="116">
        <f t="shared" si="3"/>
        <v>280210.08403361344</v>
      </c>
      <c r="G75" s="116">
        <f t="shared" si="4"/>
        <v>1755000</v>
      </c>
      <c r="H75" s="117">
        <f t="shared" si="5"/>
        <v>1755000</v>
      </c>
    </row>
    <row r="76" spans="2:8" ht="15.75" thickBot="1" x14ac:dyDescent="0.3">
      <c r="B76" s="89">
        <v>72</v>
      </c>
      <c r="C76" s="96" t="s">
        <v>279</v>
      </c>
      <c r="D76" s="90">
        <v>1</v>
      </c>
      <c r="E76" s="116">
        <v>592767.22689075628</v>
      </c>
      <c r="F76" s="116">
        <f t="shared" si="3"/>
        <v>112625.77310924369</v>
      </c>
      <c r="G76" s="116">
        <f t="shared" si="4"/>
        <v>705393</v>
      </c>
      <c r="H76" s="117">
        <f t="shared" si="5"/>
        <v>705393</v>
      </c>
    </row>
    <row r="77" spans="2:8" ht="15.75" thickBot="1" x14ac:dyDescent="0.3">
      <c r="B77" s="89">
        <v>73</v>
      </c>
      <c r="C77" s="96" t="s">
        <v>95</v>
      </c>
      <c r="D77" s="90">
        <v>1</v>
      </c>
      <c r="E77" s="116">
        <v>398294.11764705885</v>
      </c>
      <c r="F77" s="116">
        <f t="shared" si="3"/>
        <v>75675.882352941189</v>
      </c>
      <c r="G77" s="116">
        <f t="shared" si="4"/>
        <v>473970.00000000006</v>
      </c>
      <c r="H77" s="117">
        <f t="shared" si="5"/>
        <v>473970.00000000006</v>
      </c>
    </row>
    <row r="78" spans="2:8" ht="15.75" thickBot="1" x14ac:dyDescent="0.3">
      <c r="B78" s="89">
        <v>74</v>
      </c>
      <c r="C78" s="96" t="s">
        <v>25</v>
      </c>
      <c r="D78" s="90">
        <v>1</v>
      </c>
      <c r="E78" s="116">
        <v>133613.44537815126</v>
      </c>
      <c r="F78" s="116">
        <f t="shared" si="3"/>
        <v>25386.55462184874</v>
      </c>
      <c r="G78" s="116">
        <f t="shared" si="4"/>
        <v>159000</v>
      </c>
      <c r="H78" s="117">
        <f t="shared" si="5"/>
        <v>159000</v>
      </c>
    </row>
    <row r="79" spans="2:8" ht="15.75" thickBot="1" x14ac:dyDescent="0.3">
      <c r="B79" s="89">
        <v>75</v>
      </c>
      <c r="C79" s="96" t="s">
        <v>280</v>
      </c>
      <c r="D79" s="90">
        <v>1</v>
      </c>
      <c r="E79" s="116">
        <v>6872243.6974789919</v>
      </c>
      <c r="F79" s="116">
        <f t="shared" si="3"/>
        <v>1305726.3025210085</v>
      </c>
      <c r="G79" s="116">
        <f t="shared" si="4"/>
        <v>8177970</v>
      </c>
      <c r="H79" s="117">
        <f t="shared" si="5"/>
        <v>8177970</v>
      </c>
    </row>
    <row r="80" spans="2:8" ht="15.75" thickBot="1" x14ac:dyDescent="0.3">
      <c r="B80" s="89">
        <v>76</v>
      </c>
      <c r="C80" s="96" t="s">
        <v>281</v>
      </c>
      <c r="D80" s="90">
        <v>1</v>
      </c>
      <c r="E80" s="116">
        <v>882352.9411764706</v>
      </c>
      <c r="F80" s="116">
        <f t="shared" si="3"/>
        <v>167647.05882352943</v>
      </c>
      <c r="G80" s="116">
        <f t="shared" si="4"/>
        <v>1050000</v>
      </c>
      <c r="H80" s="117">
        <f t="shared" si="5"/>
        <v>1050000</v>
      </c>
    </row>
    <row r="81" spans="2:8" ht="15.75" thickBot="1" x14ac:dyDescent="0.3">
      <c r="B81" s="89">
        <v>77</v>
      </c>
      <c r="C81" s="96" t="s">
        <v>282</v>
      </c>
      <c r="D81" s="90">
        <v>1</v>
      </c>
      <c r="E81" s="116">
        <v>424789.91596638656</v>
      </c>
      <c r="F81" s="116">
        <f t="shared" si="3"/>
        <v>80710.084033613442</v>
      </c>
      <c r="G81" s="116">
        <f t="shared" si="4"/>
        <v>505500</v>
      </c>
      <c r="H81" s="117">
        <f t="shared" si="5"/>
        <v>505500</v>
      </c>
    </row>
    <row r="82" spans="2:8" ht="15.75" thickBot="1" x14ac:dyDescent="0.3">
      <c r="B82" s="89">
        <v>78</v>
      </c>
      <c r="C82" s="96" t="s">
        <v>103</v>
      </c>
      <c r="D82" s="90">
        <v>1</v>
      </c>
      <c r="E82" s="116">
        <v>315126.05042016809</v>
      </c>
      <c r="F82" s="116">
        <f t="shared" si="3"/>
        <v>59873.94957983194</v>
      </c>
      <c r="G82" s="116">
        <f t="shared" si="4"/>
        <v>375000</v>
      </c>
      <c r="H82" s="117">
        <f t="shared" si="5"/>
        <v>375000</v>
      </c>
    </row>
    <row r="83" spans="2:8" ht="15.75" thickBot="1" x14ac:dyDescent="0.3">
      <c r="B83" s="89">
        <v>79</v>
      </c>
      <c r="C83" s="96" t="s">
        <v>203</v>
      </c>
      <c r="D83" s="90">
        <v>1</v>
      </c>
      <c r="E83" s="116">
        <v>189390.75630252101</v>
      </c>
      <c r="F83" s="116">
        <f t="shared" si="3"/>
        <v>35984.243697478989</v>
      </c>
      <c r="G83" s="116">
        <f t="shared" si="4"/>
        <v>225375</v>
      </c>
      <c r="H83" s="117">
        <f t="shared" si="5"/>
        <v>225375</v>
      </c>
    </row>
    <row r="84" spans="2:8" ht="15.75" thickBot="1" x14ac:dyDescent="0.3">
      <c r="B84" s="89">
        <v>80</v>
      </c>
      <c r="C84" s="96" t="s">
        <v>212</v>
      </c>
      <c r="D84" s="90">
        <v>1</v>
      </c>
      <c r="E84" s="116">
        <v>183781.51260504202</v>
      </c>
      <c r="F84" s="116">
        <f t="shared" si="3"/>
        <v>34918.487394957985</v>
      </c>
      <c r="G84" s="116">
        <f t="shared" si="4"/>
        <v>218700</v>
      </c>
      <c r="H84" s="117">
        <f t="shared" si="5"/>
        <v>218700</v>
      </c>
    </row>
    <row r="85" spans="2:8" ht="15.75" thickBot="1" x14ac:dyDescent="0.3">
      <c r="B85" s="89">
        <v>81</v>
      </c>
      <c r="C85" s="96" t="s">
        <v>214</v>
      </c>
      <c r="D85" s="90">
        <v>1</v>
      </c>
      <c r="E85" s="116">
        <v>398067.22689075634</v>
      </c>
      <c r="F85" s="116">
        <f t="shared" si="3"/>
        <v>75632.773109243702</v>
      </c>
      <c r="G85" s="116">
        <f t="shared" si="4"/>
        <v>473700.00000000006</v>
      </c>
      <c r="H85" s="117">
        <f t="shared" si="5"/>
        <v>473700.00000000006</v>
      </c>
    </row>
    <row r="86" spans="2:8" ht="15.75" thickBot="1" x14ac:dyDescent="0.3">
      <c r="B86" s="89">
        <v>82</v>
      </c>
      <c r="C86" s="96" t="s">
        <v>159</v>
      </c>
      <c r="D86" s="90">
        <v>1</v>
      </c>
      <c r="E86" s="116">
        <v>3915630.2521008407</v>
      </c>
      <c r="F86" s="116">
        <f t="shared" si="3"/>
        <v>743969.74789915979</v>
      </c>
      <c r="G86" s="116">
        <f t="shared" si="4"/>
        <v>4659600</v>
      </c>
      <c r="H86" s="117">
        <f t="shared" si="5"/>
        <v>4659600</v>
      </c>
    </row>
    <row r="87" spans="2:8" ht="15.75" thickBot="1" x14ac:dyDescent="0.3">
      <c r="B87" s="89">
        <v>83</v>
      </c>
      <c r="C87" s="96" t="s">
        <v>37</v>
      </c>
      <c r="D87" s="90">
        <v>1</v>
      </c>
      <c r="E87" s="116">
        <v>4925798.3193277316</v>
      </c>
      <c r="F87" s="116">
        <f t="shared" si="3"/>
        <v>935901.68067226897</v>
      </c>
      <c r="G87" s="116">
        <f t="shared" si="4"/>
        <v>5861700.0000000009</v>
      </c>
      <c r="H87" s="117">
        <f t="shared" si="5"/>
        <v>5861700.0000000009</v>
      </c>
    </row>
    <row r="88" spans="2:8" ht="15.75" thickBot="1" x14ac:dyDescent="0.3">
      <c r="B88" s="89">
        <v>84</v>
      </c>
      <c r="C88" s="96" t="s">
        <v>283</v>
      </c>
      <c r="D88" s="90">
        <v>1</v>
      </c>
      <c r="E88" s="116">
        <v>5005714.2857142864</v>
      </c>
      <c r="F88" s="116">
        <f t="shared" si="3"/>
        <v>951085.71428571444</v>
      </c>
      <c r="G88" s="116">
        <f t="shared" si="4"/>
        <v>5956800.0000000009</v>
      </c>
      <c r="H88" s="117">
        <f t="shared" si="5"/>
        <v>5956800.0000000009</v>
      </c>
    </row>
    <row r="89" spans="2:8" ht="15.75" thickBot="1" x14ac:dyDescent="0.3">
      <c r="B89" s="89">
        <v>85</v>
      </c>
      <c r="C89" s="96" t="s">
        <v>164</v>
      </c>
      <c r="D89" s="90">
        <v>1</v>
      </c>
      <c r="E89" s="116">
        <v>224369.74789915967</v>
      </c>
      <c r="F89" s="116">
        <f t="shared" si="3"/>
        <v>42630.252100840342</v>
      </c>
      <c r="G89" s="116">
        <f t="shared" si="4"/>
        <v>267000</v>
      </c>
      <c r="H89" s="117">
        <f t="shared" si="5"/>
        <v>267000</v>
      </c>
    </row>
    <row r="90" spans="2:8" ht="15.75" thickBot="1" x14ac:dyDescent="0.3">
      <c r="B90" s="89">
        <v>86</v>
      </c>
      <c r="C90" s="96" t="s">
        <v>174</v>
      </c>
      <c r="D90" s="90">
        <v>1</v>
      </c>
      <c r="E90" s="116">
        <v>2344285.7142857146</v>
      </c>
      <c r="F90" s="116">
        <f t="shared" si="3"/>
        <v>445414.2857142858</v>
      </c>
      <c r="G90" s="116">
        <f t="shared" si="4"/>
        <v>2789700.0000000005</v>
      </c>
      <c r="H90" s="117">
        <f t="shared" si="5"/>
        <v>2789700.0000000005</v>
      </c>
    </row>
    <row r="91" spans="2:8" ht="26.25" thickBot="1" x14ac:dyDescent="0.3">
      <c r="B91" s="89">
        <v>87</v>
      </c>
      <c r="C91" s="96" t="s">
        <v>284</v>
      </c>
      <c r="D91" s="90">
        <v>1</v>
      </c>
      <c r="E91" s="116">
        <v>983193.27731092437</v>
      </c>
      <c r="F91" s="116">
        <f t="shared" si="3"/>
        <v>186806.72268907563</v>
      </c>
      <c r="G91" s="116">
        <f t="shared" si="4"/>
        <v>1170000</v>
      </c>
      <c r="H91" s="117">
        <f t="shared" si="5"/>
        <v>1170000</v>
      </c>
    </row>
    <row r="92" spans="2:8" ht="15.75" thickBot="1" x14ac:dyDescent="0.3">
      <c r="B92" s="89">
        <v>88</v>
      </c>
      <c r="C92" s="96" t="s">
        <v>161</v>
      </c>
      <c r="D92" s="90">
        <v>1</v>
      </c>
      <c r="E92" s="116">
        <v>440924.36974789918</v>
      </c>
      <c r="F92" s="116">
        <f t="shared" si="3"/>
        <v>83775.630252100847</v>
      </c>
      <c r="G92" s="116">
        <f t="shared" si="4"/>
        <v>524700</v>
      </c>
      <c r="H92" s="117">
        <f t="shared" si="5"/>
        <v>524700</v>
      </c>
    </row>
    <row r="93" spans="2:8" ht="15.75" thickBot="1" x14ac:dyDescent="0.3">
      <c r="B93" s="89">
        <v>89</v>
      </c>
      <c r="C93" s="96" t="s">
        <v>112</v>
      </c>
      <c r="D93" s="90">
        <v>1</v>
      </c>
      <c r="E93" s="116">
        <v>602521.00840336143</v>
      </c>
      <c r="F93" s="116">
        <f t="shared" si="3"/>
        <v>114478.99159663868</v>
      </c>
      <c r="G93" s="116">
        <f t="shared" si="4"/>
        <v>717000.00000000012</v>
      </c>
      <c r="H93" s="117">
        <f t="shared" si="5"/>
        <v>717000.00000000012</v>
      </c>
    </row>
    <row r="94" spans="2:8" ht="15.75" thickBot="1" x14ac:dyDescent="0.3">
      <c r="B94" s="89">
        <v>90</v>
      </c>
      <c r="C94" s="96" t="s">
        <v>110</v>
      </c>
      <c r="D94" s="90">
        <v>1</v>
      </c>
      <c r="E94" s="116">
        <v>390504.2016806723</v>
      </c>
      <c r="F94" s="116">
        <f t="shared" si="3"/>
        <v>74195.798319327732</v>
      </c>
      <c r="G94" s="116">
        <f t="shared" si="4"/>
        <v>464700</v>
      </c>
      <c r="H94" s="117">
        <f t="shared" si="5"/>
        <v>464700</v>
      </c>
    </row>
    <row r="95" spans="2:8" ht="15.75" thickBot="1" x14ac:dyDescent="0.3">
      <c r="B95" s="89">
        <v>91</v>
      </c>
      <c r="C95" s="96" t="s">
        <v>285</v>
      </c>
      <c r="D95" s="90">
        <v>1</v>
      </c>
      <c r="E95" s="116">
        <v>239243.69747899161</v>
      </c>
      <c r="F95" s="116">
        <f t="shared" si="3"/>
        <v>45456.302521008409</v>
      </c>
      <c r="G95" s="116">
        <f t="shared" si="4"/>
        <v>284700</v>
      </c>
      <c r="H95" s="117">
        <f t="shared" si="5"/>
        <v>284700</v>
      </c>
    </row>
    <row r="96" spans="2:8" ht="26.25" thickBot="1" x14ac:dyDescent="0.3">
      <c r="B96" s="89">
        <v>92</v>
      </c>
      <c r="C96" s="96" t="s">
        <v>286</v>
      </c>
      <c r="D96" s="90">
        <v>1</v>
      </c>
      <c r="E96" s="116">
        <v>272016.80672268907</v>
      </c>
      <c r="F96" s="116">
        <f t="shared" si="3"/>
        <v>51683.193277310922</v>
      </c>
      <c r="G96" s="116">
        <f t="shared" si="4"/>
        <v>323700</v>
      </c>
      <c r="H96" s="117">
        <f t="shared" si="5"/>
        <v>323700</v>
      </c>
    </row>
    <row r="97" spans="2:8" ht="15.75" thickBot="1" x14ac:dyDescent="0.3">
      <c r="B97" s="89">
        <v>93</v>
      </c>
      <c r="C97" s="96" t="s">
        <v>287</v>
      </c>
      <c r="D97" s="90">
        <v>1</v>
      </c>
      <c r="E97" s="116">
        <v>1978991.5966386555</v>
      </c>
      <c r="F97" s="116">
        <f t="shared" si="3"/>
        <v>376008.40336134454</v>
      </c>
      <c r="G97" s="116">
        <f t="shared" si="4"/>
        <v>2355000</v>
      </c>
      <c r="H97" s="117">
        <f t="shared" si="5"/>
        <v>2355000</v>
      </c>
    </row>
    <row r="98" spans="2:8" ht="26.25" thickBot="1" x14ac:dyDescent="0.3">
      <c r="B98" s="89">
        <v>94</v>
      </c>
      <c r="C98" s="97" t="s">
        <v>288</v>
      </c>
      <c r="D98" s="90">
        <v>1</v>
      </c>
      <c r="E98" s="116">
        <v>801428.57142857148</v>
      </c>
      <c r="F98" s="116">
        <f t="shared" si="3"/>
        <v>152271.42857142858</v>
      </c>
      <c r="G98" s="116">
        <f t="shared" si="4"/>
        <v>953700</v>
      </c>
      <c r="H98" s="117">
        <f t="shared" si="5"/>
        <v>953700</v>
      </c>
    </row>
    <row r="99" spans="2:8" ht="26.25" thickBot="1" x14ac:dyDescent="0.3">
      <c r="B99" s="89">
        <v>95</v>
      </c>
      <c r="C99" s="97" t="s">
        <v>289</v>
      </c>
      <c r="D99" s="90">
        <v>1</v>
      </c>
      <c r="E99" s="116">
        <v>83571.42857142858</v>
      </c>
      <c r="F99" s="116">
        <f t="shared" si="3"/>
        <v>15878.571428571431</v>
      </c>
      <c r="G99" s="116">
        <f t="shared" si="4"/>
        <v>99450.000000000015</v>
      </c>
      <c r="H99" s="117">
        <f t="shared" si="5"/>
        <v>99450.000000000015</v>
      </c>
    </row>
    <row r="100" spans="2:8" ht="15.75" thickBot="1" x14ac:dyDescent="0.3">
      <c r="B100" s="89">
        <v>96</v>
      </c>
      <c r="C100" s="96" t="s">
        <v>290</v>
      </c>
      <c r="D100" s="90">
        <v>1</v>
      </c>
      <c r="E100" s="116">
        <v>1694495.7983193279</v>
      </c>
      <c r="F100" s="116">
        <f t="shared" si="3"/>
        <v>321954.2016806723</v>
      </c>
      <c r="G100" s="116">
        <f t="shared" si="4"/>
        <v>2016450.0000000002</v>
      </c>
      <c r="H100" s="117">
        <f t="shared" si="5"/>
        <v>2016450.0000000002</v>
      </c>
    </row>
    <row r="101" spans="2:8" ht="15.75" thickBot="1" x14ac:dyDescent="0.3">
      <c r="B101" s="89">
        <v>97</v>
      </c>
      <c r="C101" s="96" t="s">
        <v>55</v>
      </c>
      <c r="D101" s="90">
        <v>1</v>
      </c>
      <c r="E101" s="116">
        <v>264705.8823529412</v>
      </c>
      <c r="F101" s="116">
        <f t="shared" si="3"/>
        <v>50294.117647058833</v>
      </c>
      <c r="G101" s="116">
        <f t="shared" si="4"/>
        <v>315000.00000000006</v>
      </c>
      <c r="H101" s="117">
        <f t="shared" si="5"/>
        <v>315000.00000000006</v>
      </c>
    </row>
    <row r="102" spans="2:8" ht="15.75" thickBot="1" x14ac:dyDescent="0.3">
      <c r="B102" s="89">
        <v>98</v>
      </c>
      <c r="C102" s="96" t="s">
        <v>291</v>
      </c>
      <c r="D102" s="90">
        <v>1</v>
      </c>
      <c r="E102" s="116">
        <v>65243.697478991598</v>
      </c>
      <c r="F102" s="116">
        <f t="shared" si="3"/>
        <v>12396.302521008403</v>
      </c>
      <c r="G102" s="116">
        <f t="shared" si="4"/>
        <v>77640</v>
      </c>
      <c r="H102" s="117">
        <f t="shared" si="5"/>
        <v>77640</v>
      </c>
    </row>
    <row r="103" spans="2:8" ht="15.75" thickBot="1" x14ac:dyDescent="0.3">
      <c r="B103" s="89">
        <v>99</v>
      </c>
      <c r="C103" s="96" t="s">
        <v>68</v>
      </c>
      <c r="D103" s="90">
        <v>1</v>
      </c>
      <c r="E103" s="116">
        <v>932521.00840336143</v>
      </c>
      <c r="F103" s="116">
        <f t="shared" si="3"/>
        <v>177178.99159663866</v>
      </c>
      <c r="G103" s="116">
        <f t="shared" si="4"/>
        <v>1109700</v>
      </c>
      <c r="H103" s="117">
        <f t="shared" si="5"/>
        <v>1109700</v>
      </c>
    </row>
    <row r="104" spans="2:8" ht="15.75" thickBot="1" x14ac:dyDescent="0.3">
      <c r="B104" s="89">
        <v>100</v>
      </c>
      <c r="C104" s="96" t="s">
        <v>170</v>
      </c>
      <c r="D104" s="90">
        <v>1</v>
      </c>
      <c r="E104" s="116">
        <v>882100.84033613454</v>
      </c>
      <c r="F104" s="116">
        <f t="shared" si="3"/>
        <v>167599.15966386558</v>
      </c>
      <c r="G104" s="116">
        <f t="shared" si="4"/>
        <v>1049700</v>
      </c>
      <c r="H104" s="117">
        <f t="shared" si="5"/>
        <v>1049700</v>
      </c>
    </row>
    <row r="105" spans="2:8" ht="15.75" thickBot="1" x14ac:dyDescent="0.3">
      <c r="B105" s="89">
        <v>101</v>
      </c>
      <c r="C105" s="96" t="s">
        <v>270</v>
      </c>
      <c r="D105" s="90">
        <v>1</v>
      </c>
      <c r="E105" s="116">
        <v>166384.03361344538</v>
      </c>
      <c r="F105" s="116">
        <f t="shared" si="3"/>
        <v>31612.966386554624</v>
      </c>
      <c r="G105" s="116">
        <f t="shared" si="4"/>
        <v>197997</v>
      </c>
      <c r="H105" s="117">
        <f t="shared" si="5"/>
        <v>197997</v>
      </c>
    </row>
    <row r="106" spans="2:8" ht="15.75" thickBot="1" x14ac:dyDescent="0.3">
      <c r="B106" s="89">
        <v>102</v>
      </c>
      <c r="C106" s="96" t="s">
        <v>292</v>
      </c>
      <c r="D106" s="90">
        <v>1</v>
      </c>
      <c r="E106" s="116">
        <v>45126.050420168067</v>
      </c>
      <c r="F106" s="116">
        <f t="shared" si="3"/>
        <v>8573.9495798319331</v>
      </c>
      <c r="G106" s="116">
        <f t="shared" si="4"/>
        <v>53700</v>
      </c>
      <c r="H106" s="117">
        <f t="shared" si="5"/>
        <v>53700</v>
      </c>
    </row>
    <row r="107" spans="2:8" ht="15.75" thickBot="1" x14ac:dyDescent="0.3">
      <c r="B107" s="89">
        <v>103</v>
      </c>
      <c r="C107" s="96" t="s">
        <v>293</v>
      </c>
      <c r="D107" s="90">
        <v>1</v>
      </c>
      <c r="E107" s="116">
        <v>166361.34453781514</v>
      </c>
      <c r="F107" s="116">
        <f t="shared" si="3"/>
        <v>31608.655462184877</v>
      </c>
      <c r="G107" s="116">
        <f t="shared" si="4"/>
        <v>197970</v>
      </c>
      <c r="H107" s="117">
        <f t="shared" si="5"/>
        <v>197970</v>
      </c>
    </row>
    <row r="108" spans="2:8" ht="15.75" thickBot="1" x14ac:dyDescent="0.3">
      <c r="B108" s="89">
        <v>104</v>
      </c>
      <c r="C108" s="96" t="s">
        <v>72</v>
      </c>
      <c r="D108" s="90">
        <v>1</v>
      </c>
      <c r="E108" s="116">
        <v>879831.93277310929</v>
      </c>
      <c r="F108" s="116">
        <f t="shared" si="3"/>
        <v>167168.06722689077</v>
      </c>
      <c r="G108" s="116">
        <f t="shared" si="4"/>
        <v>1047000</v>
      </c>
      <c r="H108" s="117">
        <f t="shared" si="5"/>
        <v>1047000</v>
      </c>
    </row>
    <row r="109" spans="2:8" ht="15.75" thickBot="1" x14ac:dyDescent="0.3">
      <c r="B109" s="89">
        <v>105</v>
      </c>
      <c r="C109" s="96" t="s">
        <v>209</v>
      </c>
      <c r="D109" s="90">
        <v>1</v>
      </c>
      <c r="E109" s="116">
        <v>854621.84873949585</v>
      </c>
      <c r="F109" s="116">
        <f t="shared" si="3"/>
        <v>162378.15126050421</v>
      </c>
      <c r="G109" s="116">
        <f t="shared" si="4"/>
        <v>1017000</v>
      </c>
      <c r="H109" s="117">
        <f t="shared" si="5"/>
        <v>1017000</v>
      </c>
    </row>
    <row r="110" spans="2:8" ht="15.75" thickBot="1" x14ac:dyDescent="0.3">
      <c r="B110" s="118">
        <v>106</v>
      </c>
      <c r="C110" s="119" t="s">
        <v>294</v>
      </c>
      <c r="D110" s="120">
        <v>1</v>
      </c>
      <c r="E110" s="121">
        <v>1712773.1092436975</v>
      </c>
      <c r="F110" s="121">
        <f t="shared" si="3"/>
        <v>325426.89075630251</v>
      </c>
      <c r="G110" s="116">
        <f t="shared" si="4"/>
        <v>2038200</v>
      </c>
      <c r="H110" s="122">
        <f t="shared" si="5"/>
        <v>2038200</v>
      </c>
    </row>
    <row r="111" spans="2:8" x14ac:dyDescent="0.25">
      <c r="B111" s="315" t="s">
        <v>304</v>
      </c>
      <c r="C111" s="315"/>
      <c r="D111" s="315"/>
      <c r="E111" s="123">
        <f>SUM(E5:E110)</f>
        <v>146557931.09243694</v>
      </c>
      <c r="F111" s="123">
        <f t="shared" ref="F111:G111" si="6">SUM(F5:F110)</f>
        <v>27846006.907563016</v>
      </c>
      <c r="G111" s="123">
        <f t="shared" si="6"/>
        <v>174403938</v>
      </c>
      <c r="H111" s="123">
        <f>SUM(H5:H110)</f>
        <v>174403938</v>
      </c>
    </row>
    <row r="113" spans="3:7" x14ac:dyDescent="0.25">
      <c r="C113" s="102" t="s">
        <v>295</v>
      </c>
    </row>
    <row r="114" spans="3:7" x14ac:dyDescent="0.25">
      <c r="C114" s="102" t="s">
        <v>296</v>
      </c>
    </row>
    <row r="115" spans="3:7" x14ac:dyDescent="0.25">
      <c r="C115" s="102" t="s">
        <v>297</v>
      </c>
    </row>
    <row r="118" spans="3:7" x14ac:dyDescent="0.25">
      <c r="C118" s="124"/>
      <c r="D118" s="124"/>
      <c r="E118" s="124" t="s">
        <v>305</v>
      </c>
      <c r="F118" s="124"/>
      <c r="G118" s="125"/>
    </row>
    <row r="119" spans="3:7" x14ac:dyDescent="0.25">
      <c r="C119" s="124"/>
      <c r="D119" s="124"/>
      <c r="E119" s="124" t="s">
        <v>306</v>
      </c>
      <c r="F119" s="124"/>
      <c r="G119" s="125"/>
    </row>
  </sheetData>
  <mergeCells count="8">
    <mergeCell ref="B111:D111"/>
    <mergeCell ref="B1:H1"/>
    <mergeCell ref="B3:B4"/>
    <mergeCell ref="C3:C4"/>
    <mergeCell ref="E3:E4"/>
    <mergeCell ref="F3:F4"/>
    <mergeCell ref="G3:G4"/>
    <mergeCell ref="H3:H4"/>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I115"/>
  <sheetViews>
    <sheetView zoomScale="110" zoomScaleNormal="110" workbookViewId="0">
      <selection activeCell="G62" sqref="G62"/>
    </sheetView>
  </sheetViews>
  <sheetFormatPr baseColWidth="10" defaultRowHeight="15" x14ac:dyDescent="0.25"/>
  <cols>
    <col min="1" max="2" width="11.42578125" style="86"/>
    <col min="3" max="3" width="54" style="86" customWidth="1"/>
    <col min="4" max="4" width="11.42578125" style="86"/>
    <col min="5" max="5" width="14.140625" style="86" bestFit="1" customWidth="1"/>
    <col min="6" max="6" width="13.140625" style="86" bestFit="1" customWidth="1"/>
    <col min="7" max="7" width="18.140625" style="86" bestFit="1" customWidth="1"/>
    <col min="8" max="8" width="15.42578125" style="86" bestFit="1" customWidth="1"/>
    <col min="9" max="9" width="12.28515625" style="86" bestFit="1" customWidth="1"/>
    <col min="10" max="16384" width="11.42578125" style="86"/>
  </cols>
  <sheetData>
    <row r="2" spans="2:8" ht="15.75" thickBot="1" x14ac:dyDescent="0.3"/>
    <row r="3" spans="2:8" ht="15" customHeight="1" x14ac:dyDescent="0.25">
      <c r="B3" s="317" t="s">
        <v>0</v>
      </c>
      <c r="C3" s="317" t="s">
        <v>234</v>
      </c>
      <c r="D3" s="87" t="s">
        <v>235</v>
      </c>
      <c r="E3" s="317" t="s">
        <v>236</v>
      </c>
      <c r="F3" s="317" t="s">
        <v>237</v>
      </c>
      <c r="G3" s="323" t="s">
        <v>238</v>
      </c>
      <c r="H3" s="323" t="s">
        <v>239</v>
      </c>
    </row>
    <row r="4" spans="2:8" ht="23.25" thickBot="1" x14ac:dyDescent="0.3">
      <c r="B4" s="318"/>
      <c r="C4" s="318"/>
      <c r="D4" s="88" t="s">
        <v>240</v>
      </c>
      <c r="E4" s="318"/>
      <c r="F4" s="318"/>
      <c r="G4" s="324"/>
      <c r="H4" s="324"/>
    </row>
    <row r="5" spans="2:8" ht="15.75" thickBot="1" x14ac:dyDescent="0.3">
      <c r="B5" s="89">
        <v>1</v>
      </c>
      <c r="C5" s="90" t="s">
        <v>228</v>
      </c>
      <c r="D5" s="90">
        <v>1</v>
      </c>
      <c r="E5" s="91">
        <v>231092.43697478992</v>
      </c>
      <c r="F5" s="91">
        <f>E5*19%</f>
        <v>43907.563025210082</v>
      </c>
      <c r="G5" s="91">
        <f>E5+F5</f>
        <v>275000</v>
      </c>
      <c r="H5" s="92">
        <f>G5*D5</f>
        <v>275000</v>
      </c>
    </row>
    <row r="6" spans="2:8" ht="15.75" thickBot="1" x14ac:dyDescent="0.3">
      <c r="B6" s="89">
        <v>2</v>
      </c>
      <c r="C6" s="90" t="s">
        <v>79</v>
      </c>
      <c r="D6" s="90">
        <v>1</v>
      </c>
      <c r="E6" s="91">
        <v>338000</v>
      </c>
      <c r="F6" s="91">
        <f t="shared" ref="F6:F69" si="0">E6*19%</f>
        <v>64220</v>
      </c>
      <c r="G6" s="91">
        <f t="shared" ref="G6:G69" si="1">E6+F6</f>
        <v>402220</v>
      </c>
      <c r="H6" s="92">
        <f t="shared" ref="H6:H69" si="2">G6*D6</f>
        <v>402220</v>
      </c>
    </row>
    <row r="7" spans="2:8" ht="15.75" thickBot="1" x14ac:dyDescent="0.3">
      <c r="B7" s="89">
        <v>3</v>
      </c>
      <c r="C7" s="93" t="s">
        <v>241</v>
      </c>
      <c r="D7" s="93">
        <v>1</v>
      </c>
      <c r="E7" s="91">
        <v>0</v>
      </c>
      <c r="F7" s="91">
        <f t="shared" si="0"/>
        <v>0</v>
      </c>
      <c r="G7" s="91">
        <f t="shared" si="1"/>
        <v>0</v>
      </c>
      <c r="H7" s="92">
        <f t="shared" si="2"/>
        <v>0</v>
      </c>
    </row>
    <row r="8" spans="2:8" ht="15.75" thickBot="1" x14ac:dyDescent="0.3">
      <c r="B8" s="89">
        <v>4</v>
      </c>
      <c r="C8" s="93" t="s">
        <v>75</v>
      </c>
      <c r="D8" s="93">
        <v>1</v>
      </c>
      <c r="E8" s="91">
        <v>0</v>
      </c>
      <c r="F8" s="91">
        <f t="shared" si="0"/>
        <v>0</v>
      </c>
      <c r="G8" s="91">
        <f t="shared" si="1"/>
        <v>0</v>
      </c>
      <c r="H8" s="92">
        <f t="shared" si="2"/>
        <v>0</v>
      </c>
    </row>
    <row r="9" spans="2:8" ht="15.75" thickBot="1" x14ac:dyDescent="0.3">
      <c r="B9" s="89">
        <v>5</v>
      </c>
      <c r="C9" s="90" t="s">
        <v>167</v>
      </c>
      <c r="D9" s="90">
        <v>1</v>
      </c>
      <c r="E9" s="91">
        <v>315126.05042016809</v>
      </c>
      <c r="F9" s="91">
        <f t="shared" si="0"/>
        <v>59873.94957983194</v>
      </c>
      <c r="G9" s="91">
        <f t="shared" si="1"/>
        <v>375000</v>
      </c>
      <c r="H9" s="92">
        <f t="shared" si="2"/>
        <v>375000</v>
      </c>
    </row>
    <row r="10" spans="2:8" ht="15.75" thickBot="1" x14ac:dyDescent="0.3">
      <c r="B10" s="89">
        <v>6</v>
      </c>
      <c r="C10" s="90" t="s">
        <v>242</v>
      </c>
      <c r="D10" s="90">
        <v>1</v>
      </c>
      <c r="E10" s="91">
        <v>47163.865546218491</v>
      </c>
      <c r="F10" s="91">
        <f t="shared" si="0"/>
        <v>8961.134453781513</v>
      </c>
      <c r="G10" s="91">
        <f t="shared" si="1"/>
        <v>56125</v>
      </c>
      <c r="H10" s="92">
        <f t="shared" si="2"/>
        <v>56125</v>
      </c>
    </row>
    <row r="11" spans="2:8" ht="15.75" thickBot="1" x14ac:dyDescent="0.3">
      <c r="B11" s="89">
        <v>7</v>
      </c>
      <c r="C11" s="90" t="s">
        <v>43</v>
      </c>
      <c r="D11" s="90">
        <v>1</v>
      </c>
      <c r="E11" s="91">
        <v>74474.789915966394</v>
      </c>
      <c r="F11" s="91">
        <f t="shared" si="0"/>
        <v>14150.210084033615</v>
      </c>
      <c r="G11" s="91">
        <f t="shared" si="1"/>
        <v>88625.000000000015</v>
      </c>
      <c r="H11" s="92">
        <f t="shared" si="2"/>
        <v>88625.000000000015</v>
      </c>
    </row>
    <row r="12" spans="2:8" ht="23.25" thickBot="1" x14ac:dyDescent="0.3">
      <c r="B12" s="89">
        <v>8</v>
      </c>
      <c r="C12" s="94" t="s">
        <v>243</v>
      </c>
      <c r="D12" s="93">
        <v>1</v>
      </c>
      <c r="E12" s="91">
        <v>0</v>
      </c>
      <c r="F12" s="91">
        <f t="shared" si="0"/>
        <v>0</v>
      </c>
      <c r="G12" s="91">
        <f t="shared" si="1"/>
        <v>0</v>
      </c>
      <c r="H12" s="92">
        <f t="shared" si="2"/>
        <v>0</v>
      </c>
    </row>
    <row r="13" spans="2:8" ht="15.75" thickBot="1" x14ac:dyDescent="0.3">
      <c r="B13" s="89">
        <v>9</v>
      </c>
      <c r="C13" s="90" t="s">
        <v>244</v>
      </c>
      <c r="D13" s="90">
        <v>1</v>
      </c>
      <c r="E13" s="91">
        <v>2705252.1008403362</v>
      </c>
      <c r="F13" s="91">
        <f t="shared" si="0"/>
        <v>513997.89915966388</v>
      </c>
      <c r="G13" s="91">
        <f t="shared" si="1"/>
        <v>3219250</v>
      </c>
      <c r="H13" s="92">
        <f t="shared" si="2"/>
        <v>3219250</v>
      </c>
    </row>
    <row r="14" spans="2:8" ht="15.75" thickBot="1" x14ac:dyDescent="0.3">
      <c r="B14" s="89">
        <v>10</v>
      </c>
      <c r="C14" s="90" t="s">
        <v>245</v>
      </c>
      <c r="D14" s="90">
        <v>1</v>
      </c>
      <c r="E14" s="91">
        <v>26260.504201680673</v>
      </c>
      <c r="F14" s="91">
        <f t="shared" si="0"/>
        <v>4989.4957983193281</v>
      </c>
      <c r="G14" s="91">
        <f t="shared" si="1"/>
        <v>31250</v>
      </c>
      <c r="H14" s="92">
        <f t="shared" si="2"/>
        <v>31250</v>
      </c>
    </row>
    <row r="15" spans="2:8" ht="15.75" thickBot="1" x14ac:dyDescent="0.3">
      <c r="B15" s="89">
        <v>11</v>
      </c>
      <c r="C15" s="93" t="s">
        <v>246</v>
      </c>
      <c r="D15" s="93">
        <v>1</v>
      </c>
      <c r="E15" s="91">
        <v>15837.935174069629</v>
      </c>
      <c r="F15" s="91">
        <f t="shared" si="0"/>
        <v>3009.2076830732294</v>
      </c>
      <c r="G15" s="91">
        <f t="shared" si="1"/>
        <v>18847.142857142859</v>
      </c>
      <c r="H15" s="92">
        <f t="shared" si="2"/>
        <v>18847.142857142859</v>
      </c>
    </row>
    <row r="16" spans="2:8" ht="15.75" thickBot="1" x14ac:dyDescent="0.3">
      <c r="B16" s="89">
        <v>12</v>
      </c>
      <c r="C16" s="90" t="s">
        <v>149</v>
      </c>
      <c r="D16" s="90">
        <v>1</v>
      </c>
      <c r="E16" s="91">
        <v>138235.29411764708</v>
      </c>
      <c r="F16" s="91">
        <f t="shared" si="0"/>
        <v>26264.705882352944</v>
      </c>
      <c r="G16" s="91">
        <f t="shared" si="1"/>
        <v>164500.00000000003</v>
      </c>
      <c r="H16" s="92">
        <f t="shared" si="2"/>
        <v>164500.00000000003</v>
      </c>
    </row>
    <row r="17" spans="2:8" ht="15.75" thickBot="1" x14ac:dyDescent="0.3">
      <c r="B17" s="89">
        <v>13</v>
      </c>
      <c r="C17" s="90" t="s">
        <v>227</v>
      </c>
      <c r="D17" s="90">
        <v>1</v>
      </c>
      <c r="E17" s="91">
        <v>0</v>
      </c>
      <c r="F17" s="91">
        <f t="shared" si="0"/>
        <v>0</v>
      </c>
      <c r="G17" s="91">
        <f t="shared" si="1"/>
        <v>0</v>
      </c>
      <c r="H17" s="92">
        <f t="shared" si="2"/>
        <v>0</v>
      </c>
    </row>
    <row r="18" spans="2:8" ht="15.75" thickBot="1" x14ac:dyDescent="0.3">
      <c r="B18" s="89">
        <v>14</v>
      </c>
      <c r="C18" s="90" t="s">
        <v>247</v>
      </c>
      <c r="D18" s="90">
        <v>1</v>
      </c>
      <c r="E18" s="91">
        <v>293487.39495798323</v>
      </c>
      <c r="F18" s="91">
        <f t="shared" si="0"/>
        <v>55762.60504201681</v>
      </c>
      <c r="G18" s="91">
        <f t="shared" si="1"/>
        <v>349250.00000000006</v>
      </c>
      <c r="H18" s="92">
        <f t="shared" si="2"/>
        <v>349250.00000000006</v>
      </c>
    </row>
    <row r="19" spans="2:8" ht="15.75" thickBot="1" x14ac:dyDescent="0.3">
      <c r="B19" s="89">
        <v>15</v>
      </c>
      <c r="C19" s="90" t="s">
        <v>233</v>
      </c>
      <c r="D19" s="90">
        <v>1</v>
      </c>
      <c r="E19" s="91">
        <v>3902205.8823529412</v>
      </c>
      <c r="F19" s="91">
        <f t="shared" si="0"/>
        <v>741419.1176470588</v>
      </c>
      <c r="G19" s="91">
        <f t="shared" si="1"/>
        <v>4643625</v>
      </c>
      <c r="H19" s="92">
        <f t="shared" si="2"/>
        <v>4643625</v>
      </c>
    </row>
    <row r="20" spans="2:8" ht="15.75" thickBot="1" x14ac:dyDescent="0.3">
      <c r="B20" s="89">
        <v>16</v>
      </c>
      <c r="C20" s="90" t="s">
        <v>248</v>
      </c>
      <c r="D20" s="90">
        <v>1</v>
      </c>
      <c r="E20" s="91">
        <v>839285.71428571432</v>
      </c>
      <c r="F20" s="91">
        <f t="shared" si="0"/>
        <v>159464.28571428571</v>
      </c>
      <c r="G20" s="91">
        <f t="shared" si="1"/>
        <v>998750</v>
      </c>
      <c r="H20" s="92">
        <f t="shared" si="2"/>
        <v>998750</v>
      </c>
    </row>
    <row r="21" spans="2:8" ht="15.75" thickBot="1" x14ac:dyDescent="0.3">
      <c r="B21" s="89">
        <v>17</v>
      </c>
      <c r="C21" s="90" t="s">
        <v>29</v>
      </c>
      <c r="D21" s="90">
        <v>1</v>
      </c>
      <c r="E21" s="91">
        <v>472584.03361344541</v>
      </c>
      <c r="F21" s="91">
        <f t="shared" si="0"/>
        <v>89790.966386554632</v>
      </c>
      <c r="G21" s="91">
        <f t="shared" si="1"/>
        <v>562375</v>
      </c>
      <c r="H21" s="92">
        <f t="shared" si="2"/>
        <v>562375</v>
      </c>
    </row>
    <row r="22" spans="2:8" ht="15.75" thickBot="1" x14ac:dyDescent="0.3">
      <c r="B22" s="89">
        <v>18</v>
      </c>
      <c r="C22" s="90" t="s">
        <v>201</v>
      </c>
      <c r="D22" s="90">
        <v>1</v>
      </c>
      <c r="E22" s="91">
        <v>183718.48739495798</v>
      </c>
      <c r="F22" s="91">
        <f t="shared" si="0"/>
        <v>34906.512605042015</v>
      </c>
      <c r="G22" s="91">
        <f t="shared" si="1"/>
        <v>218625</v>
      </c>
      <c r="H22" s="92">
        <f t="shared" si="2"/>
        <v>218625</v>
      </c>
    </row>
    <row r="23" spans="2:8" ht="15.75" thickBot="1" x14ac:dyDescent="0.3">
      <c r="B23" s="89">
        <v>19</v>
      </c>
      <c r="C23" s="90" t="s">
        <v>249</v>
      </c>
      <c r="D23" s="90">
        <v>1</v>
      </c>
      <c r="E23" s="91">
        <v>48214.285714285717</v>
      </c>
      <c r="F23" s="91">
        <f t="shared" si="0"/>
        <v>9160.7142857142862</v>
      </c>
      <c r="G23" s="91">
        <f t="shared" si="1"/>
        <v>57375</v>
      </c>
      <c r="H23" s="92">
        <f t="shared" si="2"/>
        <v>57375</v>
      </c>
    </row>
    <row r="24" spans="2:8" ht="34.5" thickBot="1" x14ac:dyDescent="0.3">
      <c r="B24" s="89">
        <v>20</v>
      </c>
      <c r="C24" s="95" t="s">
        <v>250</v>
      </c>
      <c r="D24" s="90">
        <v>1</v>
      </c>
      <c r="E24" s="91">
        <v>921939.77591036435</v>
      </c>
      <c r="F24" s="91">
        <f t="shared" si="0"/>
        <v>175168.55742296923</v>
      </c>
      <c r="G24" s="91">
        <f t="shared" si="1"/>
        <v>1097108.3333333335</v>
      </c>
      <c r="H24" s="92">
        <f t="shared" si="2"/>
        <v>1097108.3333333335</v>
      </c>
    </row>
    <row r="25" spans="2:8" ht="15.75" thickBot="1" x14ac:dyDescent="0.3">
      <c r="B25" s="89">
        <v>21</v>
      </c>
      <c r="C25" s="90" t="s">
        <v>251</v>
      </c>
      <c r="D25" s="90">
        <v>1</v>
      </c>
      <c r="E25" s="91">
        <v>419117.64705882355</v>
      </c>
      <c r="F25" s="91">
        <f t="shared" si="0"/>
        <v>79632.352941176476</v>
      </c>
      <c r="G25" s="91">
        <f t="shared" si="1"/>
        <v>498750</v>
      </c>
      <c r="H25" s="92">
        <f t="shared" si="2"/>
        <v>498750</v>
      </c>
    </row>
    <row r="26" spans="2:8" ht="34.5" thickBot="1" x14ac:dyDescent="0.3">
      <c r="B26" s="89">
        <v>22</v>
      </c>
      <c r="C26" s="95" t="s">
        <v>252</v>
      </c>
      <c r="D26" s="90">
        <v>1</v>
      </c>
      <c r="E26" s="91">
        <v>219088.23529411765</v>
      </c>
      <c r="F26" s="91">
        <f t="shared" si="0"/>
        <v>41626.764705882357</v>
      </c>
      <c r="G26" s="91">
        <f t="shared" si="1"/>
        <v>260715</v>
      </c>
      <c r="H26" s="92">
        <f t="shared" si="2"/>
        <v>260715</v>
      </c>
    </row>
    <row r="27" spans="2:8" ht="15.75" thickBot="1" x14ac:dyDescent="0.3">
      <c r="B27" s="89">
        <v>23</v>
      </c>
      <c r="C27" s="90" t="s">
        <v>253</v>
      </c>
      <c r="D27" s="90">
        <v>1</v>
      </c>
      <c r="E27" s="91">
        <v>52415.966386554624</v>
      </c>
      <c r="F27" s="91">
        <f t="shared" si="0"/>
        <v>9959.0336134453792</v>
      </c>
      <c r="G27" s="91">
        <f t="shared" si="1"/>
        <v>62375</v>
      </c>
      <c r="H27" s="92">
        <f t="shared" si="2"/>
        <v>62375</v>
      </c>
    </row>
    <row r="28" spans="2:8" ht="15.75" thickBot="1" x14ac:dyDescent="0.3">
      <c r="B28" s="89">
        <v>24</v>
      </c>
      <c r="C28" s="90" t="s">
        <v>254</v>
      </c>
      <c r="D28" s="90">
        <v>1</v>
      </c>
      <c r="E28" s="91">
        <v>209978.99159663866</v>
      </c>
      <c r="F28" s="91">
        <f t="shared" si="0"/>
        <v>39896.008403361346</v>
      </c>
      <c r="G28" s="91">
        <f t="shared" si="1"/>
        <v>249875</v>
      </c>
      <c r="H28" s="92">
        <f t="shared" si="2"/>
        <v>249875</v>
      </c>
    </row>
    <row r="29" spans="2:8" ht="15.75" thickBot="1" x14ac:dyDescent="0.3">
      <c r="B29" s="89">
        <v>25</v>
      </c>
      <c r="C29" s="90" t="s">
        <v>255</v>
      </c>
      <c r="D29" s="90">
        <v>1</v>
      </c>
      <c r="E29" s="91">
        <v>1394852.9411764706</v>
      </c>
      <c r="F29" s="91">
        <f t="shared" si="0"/>
        <v>265022.0588235294</v>
      </c>
      <c r="G29" s="91">
        <f t="shared" si="1"/>
        <v>1659875</v>
      </c>
      <c r="H29" s="92">
        <f t="shared" si="2"/>
        <v>1659875</v>
      </c>
    </row>
    <row r="30" spans="2:8" ht="15.75" thickBot="1" x14ac:dyDescent="0.3">
      <c r="B30" s="89">
        <v>26</v>
      </c>
      <c r="C30" s="90" t="s">
        <v>256</v>
      </c>
      <c r="D30" s="90">
        <v>1</v>
      </c>
      <c r="E30" s="91">
        <v>273004.2016806723</v>
      </c>
      <c r="F30" s="91">
        <f t="shared" si="0"/>
        <v>51870.79831932774</v>
      </c>
      <c r="G30" s="91">
        <f t="shared" si="1"/>
        <v>324875.00000000006</v>
      </c>
      <c r="H30" s="92">
        <f t="shared" si="2"/>
        <v>324875.00000000006</v>
      </c>
    </row>
    <row r="31" spans="2:8" ht="15.75" thickBot="1" x14ac:dyDescent="0.3">
      <c r="B31" s="89">
        <v>27</v>
      </c>
      <c r="C31" s="90" t="s">
        <v>257</v>
      </c>
      <c r="D31" s="90">
        <v>1</v>
      </c>
      <c r="E31" s="91">
        <v>1050315.1260504201</v>
      </c>
      <c r="F31" s="91">
        <f t="shared" si="0"/>
        <v>199559.87394957984</v>
      </c>
      <c r="G31" s="91">
        <f t="shared" si="1"/>
        <v>1249875</v>
      </c>
      <c r="H31" s="92">
        <f t="shared" si="2"/>
        <v>1249875</v>
      </c>
    </row>
    <row r="32" spans="2:8" ht="15.75" thickBot="1" x14ac:dyDescent="0.3">
      <c r="B32" s="89">
        <v>28</v>
      </c>
      <c r="C32" s="90" t="s">
        <v>89</v>
      </c>
      <c r="D32" s="90">
        <v>1</v>
      </c>
      <c r="E32" s="91">
        <v>0</v>
      </c>
      <c r="F32" s="91">
        <f t="shared" si="0"/>
        <v>0</v>
      </c>
      <c r="G32" s="91">
        <f t="shared" si="1"/>
        <v>0</v>
      </c>
      <c r="H32" s="92">
        <f t="shared" si="2"/>
        <v>0</v>
      </c>
    </row>
    <row r="33" spans="2:8" ht="15.75" thickBot="1" x14ac:dyDescent="0.3">
      <c r="B33" s="89">
        <v>29</v>
      </c>
      <c r="C33" s="90" t="s">
        <v>258</v>
      </c>
      <c r="D33" s="90">
        <v>1</v>
      </c>
      <c r="E33" s="91">
        <v>850735.29411764711</v>
      </c>
      <c r="F33" s="91">
        <f t="shared" si="0"/>
        <v>161639.70588235295</v>
      </c>
      <c r="G33" s="91">
        <f t="shared" si="1"/>
        <v>1012375</v>
      </c>
      <c r="H33" s="92">
        <f t="shared" si="2"/>
        <v>1012375</v>
      </c>
    </row>
    <row r="34" spans="2:8" ht="15.75" thickBot="1" x14ac:dyDescent="0.3">
      <c r="B34" s="89">
        <v>30</v>
      </c>
      <c r="C34" s="90" t="s">
        <v>259</v>
      </c>
      <c r="D34" s="90">
        <v>1</v>
      </c>
      <c r="E34" s="91">
        <v>93382.352941176476</v>
      </c>
      <c r="F34" s="91">
        <f t="shared" si="0"/>
        <v>17742.647058823532</v>
      </c>
      <c r="G34" s="91">
        <f t="shared" si="1"/>
        <v>111125</v>
      </c>
      <c r="H34" s="92">
        <f t="shared" si="2"/>
        <v>111125</v>
      </c>
    </row>
    <row r="35" spans="2:8" ht="15.75" thickBot="1" x14ac:dyDescent="0.3">
      <c r="B35" s="89">
        <v>31</v>
      </c>
      <c r="C35" s="90" t="s">
        <v>260</v>
      </c>
      <c r="D35" s="90">
        <v>1</v>
      </c>
      <c r="E35" s="91">
        <v>401155.46218487399</v>
      </c>
      <c r="F35" s="91">
        <f t="shared" si="0"/>
        <v>76219.537815126067</v>
      </c>
      <c r="G35" s="91">
        <f t="shared" si="1"/>
        <v>477375.00000000006</v>
      </c>
      <c r="H35" s="92">
        <f t="shared" si="2"/>
        <v>477375.00000000006</v>
      </c>
    </row>
    <row r="36" spans="2:8" ht="15.75" thickBot="1" x14ac:dyDescent="0.3">
      <c r="B36" s="89">
        <v>32</v>
      </c>
      <c r="C36" s="90" t="s">
        <v>259</v>
      </c>
      <c r="D36" s="90">
        <v>1</v>
      </c>
      <c r="E36" s="91">
        <v>93382.352941176476</v>
      </c>
      <c r="F36" s="91">
        <f t="shared" si="0"/>
        <v>17742.647058823532</v>
      </c>
      <c r="G36" s="91">
        <f t="shared" si="1"/>
        <v>111125</v>
      </c>
      <c r="H36" s="92">
        <f t="shared" si="2"/>
        <v>111125</v>
      </c>
    </row>
    <row r="37" spans="2:8" ht="15.75" thickBot="1" x14ac:dyDescent="0.3">
      <c r="B37" s="89">
        <v>33</v>
      </c>
      <c r="C37" s="90" t="s">
        <v>261</v>
      </c>
      <c r="D37" s="90">
        <v>1</v>
      </c>
      <c r="E37" s="91">
        <v>283508.40336134454</v>
      </c>
      <c r="F37" s="91">
        <f t="shared" si="0"/>
        <v>53866.596638655465</v>
      </c>
      <c r="G37" s="91">
        <f t="shared" si="1"/>
        <v>337375</v>
      </c>
      <c r="H37" s="92">
        <f t="shared" si="2"/>
        <v>337375</v>
      </c>
    </row>
    <row r="38" spans="2:8" ht="15.75" thickBot="1" x14ac:dyDescent="0.3">
      <c r="B38" s="89">
        <v>34</v>
      </c>
      <c r="C38" s="90" t="s">
        <v>262</v>
      </c>
      <c r="D38" s="90">
        <v>1</v>
      </c>
      <c r="E38" s="91">
        <v>462079.83193277312</v>
      </c>
      <c r="F38" s="91">
        <f t="shared" si="0"/>
        <v>87795.168067226899</v>
      </c>
      <c r="G38" s="91">
        <f t="shared" si="1"/>
        <v>549875</v>
      </c>
      <c r="H38" s="92">
        <f t="shared" si="2"/>
        <v>549875</v>
      </c>
    </row>
    <row r="39" spans="2:8" ht="15.75" thickBot="1" x14ac:dyDescent="0.3">
      <c r="B39" s="89">
        <v>35</v>
      </c>
      <c r="C39" s="90" t="s">
        <v>41</v>
      </c>
      <c r="D39" s="90">
        <v>1</v>
      </c>
      <c r="E39" s="91">
        <v>2016092.4369747899</v>
      </c>
      <c r="F39" s="91">
        <f t="shared" si="0"/>
        <v>383057.56302521011</v>
      </c>
      <c r="G39" s="91">
        <f t="shared" si="1"/>
        <v>2399150</v>
      </c>
      <c r="H39" s="92">
        <f t="shared" si="2"/>
        <v>2399150</v>
      </c>
    </row>
    <row r="40" spans="2:8" ht="15.75" thickBot="1" x14ac:dyDescent="0.3">
      <c r="B40" s="89">
        <v>36</v>
      </c>
      <c r="C40" s="90" t="s">
        <v>39</v>
      </c>
      <c r="D40" s="90">
        <v>1</v>
      </c>
      <c r="E40" s="91">
        <v>2156512.6050420171</v>
      </c>
      <c r="F40" s="91">
        <f t="shared" si="0"/>
        <v>409737.39495798323</v>
      </c>
      <c r="G40" s="91">
        <f t="shared" si="1"/>
        <v>2566250.0000000005</v>
      </c>
      <c r="H40" s="92">
        <f t="shared" si="2"/>
        <v>2566250.0000000005</v>
      </c>
    </row>
    <row r="41" spans="2:8" ht="23.25" thickBot="1" x14ac:dyDescent="0.3">
      <c r="B41" s="89">
        <v>37</v>
      </c>
      <c r="C41" s="95" t="s">
        <v>263</v>
      </c>
      <c r="D41" s="90">
        <v>1</v>
      </c>
      <c r="E41" s="91">
        <v>1325131.6526610646</v>
      </c>
      <c r="F41" s="91">
        <f t="shared" si="0"/>
        <v>251775.01400560228</v>
      </c>
      <c r="G41" s="91">
        <f t="shared" si="1"/>
        <v>1576906.666666667</v>
      </c>
      <c r="H41" s="92">
        <f t="shared" si="2"/>
        <v>1576906.666666667</v>
      </c>
    </row>
    <row r="42" spans="2:8" ht="15.75" thickBot="1" x14ac:dyDescent="0.3">
      <c r="B42" s="89">
        <v>38</v>
      </c>
      <c r="C42" s="96" t="s">
        <v>181</v>
      </c>
      <c r="D42" s="90">
        <v>1</v>
      </c>
      <c r="E42" s="91">
        <v>183718.48739495798</v>
      </c>
      <c r="F42" s="91">
        <f t="shared" si="0"/>
        <v>34906.512605042015</v>
      </c>
      <c r="G42" s="91">
        <f t="shared" si="1"/>
        <v>218625</v>
      </c>
      <c r="H42" s="92">
        <f t="shared" si="2"/>
        <v>218625</v>
      </c>
    </row>
    <row r="43" spans="2:8" ht="26.25" thickBot="1" x14ac:dyDescent="0.3">
      <c r="B43" s="89">
        <v>39</v>
      </c>
      <c r="C43" s="97" t="s">
        <v>264</v>
      </c>
      <c r="D43" s="90">
        <v>1</v>
      </c>
      <c r="E43" s="91">
        <v>178466.38655462186</v>
      </c>
      <c r="F43" s="91">
        <f t="shared" si="0"/>
        <v>33908.613445378156</v>
      </c>
      <c r="G43" s="91">
        <f t="shared" si="1"/>
        <v>212375</v>
      </c>
      <c r="H43" s="92">
        <f t="shared" si="2"/>
        <v>212375</v>
      </c>
    </row>
    <row r="44" spans="2:8" ht="15.75" thickBot="1" x14ac:dyDescent="0.3">
      <c r="B44" s="89">
        <v>40</v>
      </c>
      <c r="C44" s="96" t="s">
        <v>265</v>
      </c>
      <c r="D44" s="90">
        <v>1</v>
      </c>
      <c r="E44" s="91">
        <v>388550.42016806727</v>
      </c>
      <c r="F44" s="91">
        <f t="shared" si="0"/>
        <v>73824.579831932788</v>
      </c>
      <c r="G44" s="91">
        <f t="shared" si="1"/>
        <v>462375.00000000006</v>
      </c>
      <c r="H44" s="92">
        <f t="shared" si="2"/>
        <v>462375.00000000006</v>
      </c>
    </row>
    <row r="45" spans="2:8" ht="26.25" thickBot="1" x14ac:dyDescent="0.3">
      <c r="B45" s="89">
        <v>41</v>
      </c>
      <c r="C45" s="96" t="s">
        <v>266</v>
      </c>
      <c r="D45" s="90">
        <v>1</v>
      </c>
      <c r="E45" s="91">
        <v>322373.94957983197</v>
      </c>
      <c r="F45" s="91">
        <f t="shared" si="0"/>
        <v>61251.050420168074</v>
      </c>
      <c r="G45" s="91">
        <f t="shared" si="1"/>
        <v>383625.00000000006</v>
      </c>
      <c r="H45" s="92">
        <f t="shared" si="2"/>
        <v>383625.00000000006</v>
      </c>
    </row>
    <row r="46" spans="2:8" ht="22.5" customHeight="1" thickBot="1" x14ac:dyDescent="0.3">
      <c r="B46" s="89">
        <v>42</v>
      </c>
      <c r="C46" s="96" t="s">
        <v>65</v>
      </c>
      <c r="D46" s="90">
        <v>1</v>
      </c>
      <c r="E46" s="91">
        <v>593382.3529411765</v>
      </c>
      <c r="F46" s="91">
        <f t="shared" si="0"/>
        <v>112742.64705882354</v>
      </c>
      <c r="G46" s="91">
        <f t="shared" si="1"/>
        <v>706125</v>
      </c>
      <c r="H46" s="92">
        <f t="shared" si="2"/>
        <v>706125</v>
      </c>
    </row>
    <row r="47" spans="2:8" ht="15.75" thickBot="1" x14ac:dyDescent="0.3">
      <c r="B47" s="89">
        <v>43</v>
      </c>
      <c r="C47" s="96" t="s">
        <v>198</v>
      </c>
      <c r="D47" s="90">
        <v>1</v>
      </c>
      <c r="E47" s="91">
        <v>89180.672268907569</v>
      </c>
      <c r="F47" s="91">
        <f t="shared" si="0"/>
        <v>16944.327731092439</v>
      </c>
      <c r="G47" s="91">
        <f t="shared" si="1"/>
        <v>106125</v>
      </c>
      <c r="H47" s="92">
        <f t="shared" si="2"/>
        <v>106125</v>
      </c>
    </row>
    <row r="48" spans="2:8" ht="15.75" thickBot="1" x14ac:dyDescent="0.3">
      <c r="B48" s="89">
        <v>44</v>
      </c>
      <c r="C48" s="96" t="s">
        <v>267</v>
      </c>
      <c r="D48" s="90">
        <v>1</v>
      </c>
      <c r="E48" s="91">
        <v>94432.773109243702</v>
      </c>
      <c r="F48" s="91">
        <f t="shared" si="0"/>
        <v>17942.226890756305</v>
      </c>
      <c r="G48" s="91">
        <f t="shared" si="1"/>
        <v>112375</v>
      </c>
      <c r="H48" s="92">
        <f t="shared" si="2"/>
        <v>112375</v>
      </c>
    </row>
    <row r="49" spans="2:9" ht="15.75" thickBot="1" x14ac:dyDescent="0.3">
      <c r="B49" s="89">
        <v>45</v>
      </c>
      <c r="C49" s="96" t="s">
        <v>268</v>
      </c>
      <c r="D49" s="90">
        <v>1</v>
      </c>
      <c r="E49" s="91">
        <v>56617.647058823532</v>
      </c>
      <c r="F49" s="91">
        <f t="shared" si="0"/>
        <v>10757.35294117647</v>
      </c>
      <c r="G49" s="91">
        <f t="shared" si="1"/>
        <v>67375</v>
      </c>
      <c r="H49" s="92">
        <f t="shared" si="2"/>
        <v>67375</v>
      </c>
    </row>
    <row r="50" spans="2:9" ht="15.75" thickBot="1" x14ac:dyDescent="0.3">
      <c r="B50" s="89">
        <v>46</v>
      </c>
      <c r="C50" s="96" t="s">
        <v>269</v>
      </c>
      <c r="D50" s="90">
        <v>1</v>
      </c>
      <c r="E50" s="91">
        <v>354096.63865546219</v>
      </c>
      <c r="F50" s="91">
        <f t="shared" si="0"/>
        <v>67278.361344537814</v>
      </c>
      <c r="G50" s="91">
        <f t="shared" si="1"/>
        <v>421375</v>
      </c>
      <c r="H50" s="92">
        <f t="shared" si="2"/>
        <v>421375</v>
      </c>
    </row>
    <row r="51" spans="2:9" ht="15.75" thickBot="1" x14ac:dyDescent="0.3">
      <c r="B51" s="89">
        <v>47</v>
      </c>
      <c r="C51" s="96" t="s">
        <v>270</v>
      </c>
      <c r="D51" s="90">
        <v>1</v>
      </c>
      <c r="E51" s="91">
        <v>45063.025210084037</v>
      </c>
      <c r="F51" s="91">
        <f t="shared" si="0"/>
        <v>8561.9747899159665</v>
      </c>
      <c r="G51" s="91">
        <f t="shared" si="1"/>
        <v>53625</v>
      </c>
      <c r="H51" s="92">
        <f t="shared" si="2"/>
        <v>53625</v>
      </c>
    </row>
    <row r="52" spans="2:9" ht="15.75" thickBot="1" x14ac:dyDescent="0.3">
      <c r="B52" s="89">
        <v>48</v>
      </c>
      <c r="C52" s="96" t="s">
        <v>59</v>
      </c>
      <c r="D52" s="90">
        <v>1</v>
      </c>
      <c r="E52" s="91">
        <v>42962.184873949584</v>
      </c>
      <c r="F52" s="91">
        <f t="shared" si="0"/>
        <v>8162.815126050421</v>
      </c>
      <c r="G52" s="91">
        <f t="shared" si="1"/>
        <v>51125.000000000007</v>
      </c>
      <c r="H52" s="92">
        <f t="shared" si="2"/>
        <v>51125.000000000007</v>
      </c>
    </row>
    <row r="53" spans="2:9" ht="15.75" thickBot="1" x14ac:dyDescent="0.3">
      <c r="B53" s="89">
        <v>49</v>
      </c>
      <c r="C53" s="96" t="s">
        <v>271</v>
      </c>
      <c r="D53" s="90">
        <v>1</v>
      </c>
      <c r="E53" s="91">
        <v>47268.907563025212</v>
      </c>
      <c r="F53" s="91">
        <f t="shared" si="0"/>
        <v>8981.09243697479</v>
      </c>
      <c r="G53" s="91">
        <f t="shared" si="1"/>
        <v>56250</v>
      </c>
      <c r="H53" s="92">
        <f t="shared" si="2"/>
        <v>56250</v>
      </c>
    </row>
    <row r="54" spans="2:9" ht="15.75" thickBot="1" x14ac:dyDescent="0.3">
      <c r="B54" s="89">
        <v>50</v>
      </c>
      <c r="C54" s="96" t="s">
        <v>272</v>
      </c>
      <c r="D54" s="90">
        <v>1</v>
      </c>
      <c r="E54" s="91">
        <v>52415.966386554624</v>
      </c>
      <c r="F54" s="91">
        <f t="shared" si="0"/>
        <v>9959.0336134453792</v>
      </c>
      <c r="G54" s="91">
        <f t="shared" si="1"/>
        <v>62375</v>
      </c>
      <c r="H54" s="92">
        <f t="shared" si="2"/>
        <v>62375</v>
      </c>
    </row>
    <row r="55" spans="2:9" ht="15.75" thickBot="1" x14ac:dyDescent="0.3">
      <c r="B55" s="89">
        <v>51</v>
      </c>
      <c r="C55" s="96" t="s">
        <v>179</v>
      </c>
      <c r="D55" s="90">
        <v>1</v>
      </c>
      <c r="E55" s="91">
        <v>95483.193277310929</v>
      </c>
      <c r="F55" s="91">
        <f t="shared" si="0"/>
        <v>18141.806722689078</v>
      </c>
      <c r="G55" s="91">
        <f t="shared" si="1"/>
        <v>113625</v>
      </c>
      <c r="H55" s="92">
        <f t="shared" si="2"/>
        <v>113625</v>
      </c>
    </row>
    <row r="56" spans="2:9" ht="15.75" thickBot="1" x14ac:dyDescent="0.3">
      <c r="B56" s="89">
        <v>52</v>
      </c>
      <c r="C56" s="96" t="s">
        <v>126</v>
      </c>
      <c r="D56" s="90">
        <v>1</v>
      </c>
      <c r="E56" s="91">
        <v>12079.83193277311</v>
      </c>
      <c r="F56" s="91">
        <f t="shared" si="0"/>
        <v>2295.1680672268908</v>
      </c>
      <c r="G56" s="91">
        <f t="shared" si="1"/>
        <v>14375</v>
      </c>
      <c r="H56" s="92">
        <f t="shared" si="2"/>
        <v>14375</v>
      </c>
    </row>
    <row r="57" spans="2:9" ht="15.75" thickBot="1" x14ac:dyDescent="0.3">
      <c r="B57" s="89">
        <v>53</v>
      </c>
      <c r="C57" s="96" t="s">
        <v>273</v>
      </c>
      <c r="D57" s="90">
        <v>1</v>
      </c>
      <c r="E57" s="91">
        <v>34558.823529411769</v>
      </c>
      <c r="F57" s="91">
        <f t="shared" si="0"/>
        <v>6566.176470588236</v>
      </c>
      <c r="G57" s="91">
        <f t="shared" si="1"/>
        <v>41125.000000000007</v>
      </c>
      <c r="H57" s="92">
        <f t="shared" si="2"/>
        <v>41125.000000000007</v>
      </c>
    </row>
    <row r="58" spans="2:9" ht="15.75" thickBot="1" x14ac:dyDescent="0.3">
      <c r="B58" s="89">
        <v>54</v>
      </c>
      <c r="C58" s="96" t="s">
        <v>194</v>
      </c>
      <c r="D58" s="90">
        <v>1</v>
      </c>
      <c r="E58" s="91">
        <v>44012.60504201681</v>
      </c>
      <c r="F58" s="91">
        <f t="shared" si="0"/>
        <v>8362.3949579831933</v>
      </c>
      <c r="G58" s="91">
        <f t="shared" si="1"/>
        <v>52375</v>
      </c>
      <c r="H58" s="92">
        <f t="shared" si="2"/>
        <v>52375</v>
      </c>
    </row>
    <row r="59" spans="2:9" ht="15.75" thickBot="1" x14ac:dyDescent="0.3">
      <c r="B59" s="89">
        <v>55</v>
      </c>
      <c r="C59" s="96" t="s">
        <v>274</v>
      </c>
      <c r="D59" s="90">
        <v>1</v>
      </c>
      <c r="E59" s="91">
        <v>840231.09243697487</v>
      </c>
      <c r="F59" s="91">
        <f t="shared" si="0"/>
        <v>159643.90756302522</v>
      </c>
      <c r="G59" s="91">
        <f t="shared" si="1"/>
        <v>999875.00000000012</v>
      </c>
      <c r="H59" s="92">
        <f t="shared" si="2"/>
        <v>999875.00000000012</v>
      </c>
    </row>
    <row r="60" spans="2:9" ht="15.75" thickBot="1" x14ac:dyDescent="0.3">
      <c r="B60" s="89">
        <v>56</v>
      </c>
      <c r="C60" s="96" t="s">
        <v>190</v>
      </c>
      <c r="D60" s="90">
        <v>1</v>
      </c>
      <c r="E60" s="91">
        <v>27205.882352941178</v>
      </c>
      <c r="F60" s="91">
        <f t="shared" si="0"/>
        <v>5169.1176470588243</v>
      </c>
      <c r="G60" s="91">
        <f t="shared" si="1"/>
        <v>32375.000000000004</v>
      </c>
      <c r="H60" s="92">
        <f t="shared" si="2"/>
        <v>32375.000000000004</v>
      </c>
    </row>
    <row r="61" spans="2:9" ht="15.75" thickBot="1" x14ac:dyDescent="0.3">
      <c r="B61" s="89">
        <v>57</v>
      </c>
      <c r="C61" s="96" t="s">
        <v>183</v>
      </c>
      <c r="D61" s="90">
        <v>1</v>
      </c>
      <c r="E61" s="91">
        <v>29306.722689075632</v>
      </c>
      <c r="F61" s="91">
        <f t="shared" si="0"/>
        <v>5568.2773109243699</v>
      </c>
      <c r="G61" s="91">
        <f t="shared" si="1"/>
        <v>34875</v>
      </c>
      <c r="H61" s="92">
        <f t="shared" si="2"/>
        <v>34875</v>
      </c>
    </row>
    <row r="62" spans="2:9" ht="15.75" thickBot="1" x14ac:dyDescent="0.3">
      <c r="B62" s="89">
        <v>58</v>
      </c>
      <c r="C62" s="96" t="s">
        <v>220</v>
      </c>
      <c r="D62" s="90">
        <v>1</v>
      </c>
      <c r="E62" s="91">
        <v>34873.949579831933</v>
      </c>
      <c r="F62" s="91">
        <f t="shared" si="0"/>
        <v>6626.0504201680669</v>
      </c>
      <c r="G62" s="91">
        <f t="shared" si="1"/>
        <v>41500</v>
      </c>
      <c r="H62" s="92">
        <f t="shared" si="2"/>
        <v>41500</v>
      </c>
    </row>
    <row r="63" spans="2:9" ht="15.75" thickBot="1" x14ac:dyDescent="0.3">
      <c r="B63" s="89">
        <v>59</v>
      </c>
      <c r="C63" s="96" t="s">
        <v>187</v>
      </c>
      <c r="D63" s="90">
        <v>1</v>
      </c>
      <c r="E63" s="91">
        <v>104516.80672268909</v>
      </c>
      <c r="F63" s="91">
        <f t="shared" si="0"/>
        <v>19858.193277310926</v>
      </c>
      <c r="G63" s="91">
        <f t="shared" si="1"/>
        <v>124375.00000000001</v>
      </c>
      <c r="H63" s="92">
        <f t="shared" si="2"/>
        <v>124375.00000000001</v>
      </c>
    </row>
    <row r="64" spans="2:9" ht="15.75" thickBot="1" x14ac:dyDescent="0.3">
      <c r="B64" s="89">
        <v>60</v>
      </c>
      <c r="C64" s="96" t="s">
        <v>63</v>
      </c>
      <c r="D64" s="90">
        <v>1</v>
      </c>
      <c r="E64" s="91">
        <v>165000000</v>
      </c>
      <c r="F64" s="91">
        <f t="shared" si="0"/>
        <v>31350000</v>
      </c>
      <c r="G64" s="91">
        <f t="shared" si="1"/>
        <v>196350000</v>
      </c>
      <c r="H64" s="92">
        <f t="shared" si="2"/>
        <v>196350000</v>
      </c>
      <c r="I64" s="98" t="s">
        <v>275</v>
      </c>
    </row>
    <row r="65" spans="2:8" ht="15.75" thickBot="1" x14ac:dyDescent="0.3">
      <c r="B65" s="89">
        <v>61</v>
      </c>
      <c r="C65" s="96" t="s">
        <v>118</v>
      </c>
      <c r="D65" s="90">
        <v>1</v>
      </c>
      <c r="E65" s="91">
        <v>363340.33613445377</v>
      </c>
      <c r="F65" s="91">
        <f t="shared" si="0"/>
        <v>69034.663865546216</v>
      </c>
      <c r="G65" s="91">
        <f t="shared" si="1"/>
        <v>432375</v>
      </c>
      <c r="H65" s="92">
        <f t="shared" si="2"/>
        <v>432375</v>
      </c>
    </row>
    <row r="66" spans="2:8" ht="15.75" thickBot="1" x14ac:dyDescent="0.3">
      <c r="B66" s="89">
        <v>62</v>
      </c>
      <c r="C66" s="96" t="s">
        <v>192</v>
      </c>
      <c r="D66" s="90">
        <v>1</v>
      </c>
      <c r="E66" s="91">
        <v>42542.016806722691</v>
      </c>
      <c r="F66" s="91">
        <f t="shared" si="0"/>
        <v>8082.9831932773113</v>
      </c>
      <c r="G66" s="91">
        <f t="shared" si="1"/>
        <v>50625</v>
      </c>
      <c r="H66" s="92">
        <f t="shared" si="2"/>
        <v>50625</v>
      </c>
    </row>
    <row r="67" spans="2:8" ht="15.75" thickBot="1" x14ac:dyDescent="0.3">
      <c r="B67" s="89">
        <v>63</v>
      </c>
      <c r="C67" s="96" t="s">
        <v>122</v>
      </c>
      <c r="D67" s="90">
        <v>1</v>
      </c>
      <c r="E67" s="91">
        <v>504096.63865546219</v>
      </c>
      <c r="F67" s="91">
        <f t="shared" si="0"/>
        <v>95778.361344537814</v>
      </c>
      <c r="G67" s="91">
        <f t="shared" si="1"/>
        <v>599875</v>
      </c>
      <c r="H67" s="92">
        <f t="shared" si="2"/>
        <v>599875</v>
      </c>
    </row>
    <row r="68" spans="2:8" ht="26.25" thickBot="1" x14ac:dyDescent="0.3">
      <c r="B68" s="89">
        <v>64</v>
      </c>
      <c r="C68" s="96" t="s">
        <v>276</v>
      </c>
      <c r="D68" s="90">
        <v>1</v>
      </c>
      <c r="E68" s="91">
        <v>139600.84033613445</v>
      </c>
      <c r="F68" s="91">
        <f t="shared" si="0"/>
        <v>26524.159663865546</v>
      </c>
      <c r="G68" s="91">
        <f t="shared" si="1"/>
        <v>166125</v>
      </c>
      <c r="H68" s="92">
        <f t="shared" si="2"/>
        <v>166125</v>
      </c>
    </row>
    <row r="69" spans="2:8" ht="15.75" thickBot="1" x14ac:dyDescent="0.3">
      <c r="B69" s="89">
        <v>65</v>
      </c>
      <c r="C69" s="96" t="s">
        <v>277</v>
      </c>
      <c r="D69" s="90">
        <v>1</v>
      </c>
      <c r="E69" s="91">
        <v>34558.823529411769</v>
      </c>
      <c r="F69" s="91">
        <f t="shared" si="0"/>
        <v>6566.176470588236</v>
      </c>
      <c r="G69" s="91">
        <f t="shared" si="1"/>
        <v>41125.000000000007</v>
      </c>
      <c r="H69" s="92">
        <f t="shared" si="2"/>
        <v>41125.000000000007</v>
      </c>
    </row>
    <row r="70" spans="2:8" ht="15.75" thickBot="1" x14ac:dyDescent="0.3">
      <c r="B70" s="89">
        <v>66</v>
      </c>
      <c r="C70" s="96" t="s">
        <v>114</v>
      </c>
      <c r="D70" s="90">
        <v>1</v>
      </c>
      <c r="E70" s="91">
        <v>214180.67226890757</v>
      </c>
      <c r="F70" s="91">
        <f t="shared" ref="F70:F110" si="3">E70*19%</f>
        <v>40694.327731092439</v>
      </c>
      <c r="G70" s="91">
        <f t="shared" ref="G70:G110" si="4">E70+F70</f>
        <v>254875</v>
      </c>
      <c r="H70" s="92">
        <f t="shared" ref="H70:H110" si="5">G70*D70</f>
        <v>254875</v>
      </c>
    </row>
    <row r="71" spans="2:8" ht="15.75" thickBot="1" x14ac:dyDescent="0.3">
      <c r="B71" s="89">
        <v>67</v>
      </c>
      <c r="C71" s="99" t="s">
        <v>124</v>
      </c>
      <c r="D71" s="90">
        <v>1</v>
      </c>
      <c r="E71" s="91">
        <v>524054.62184873951</v>
      </c>
      <c r="F71" s="91">
        <f t="shared" si="3"/>
        <v>99570.378151260506</v>
      </c>
      <c r="G71" s="91">
        <f t="shared" si="4"/>
        <v>623625</v>
      </c>
      <c r="H71" s="92">
        <f t="shared" si="5"/>
        <v>623625</v>
      </c>
    </row>
    <row r="72" spans="2:8" ht="15.75" thickBot="1" x14ac:dyDescent="0.3">
      <c r="B72" s="89">
        <v>68</v>
      </c>
      <c r="C72" s="96" t="s">
        <v>278</v>
      </c>
      <c r="D72" s="90">
        <v>1</v>
      </c>
      <c r="E72" s="91">
        <v>58718.487394957985</v>
      </c>
      <c r="F72" s="91">
        <f t="shared" si="3"/>
        <v>11156.512605042017</v>
      </c>
      <c r="G72" s="91">
        <f t="shared" si="4"/>
        <v>69875</v>
      </c>
      <c r="H72" s="92">
        <f t="shared" si="5"/>
        <v>69875</v>
      </c>
    </row>
    <row r="73" spans="2:8" ht="15.75" thickBot="1" x14ac:dyDescent="0.3">
      <c r="B73" s="89">
        <v>69</v>
      </c>
      <c r="C73" s="96" t="s">
        <v>130</v>
      </c>
      <c r="D73" s="90">
        <v>1</v>
      </c>
      <c r="E73" s="91">
        <v>640651.26050420175</v>
      </c>
      <c r="F73" s="91">
        <f t="shared" si="3"/>
        <v>121723.73949579833</v>
      </c>
      <c r="G73" s="91">
        <f t="shared" si="4"/>
        <v>762375.00000000012</v>
      </c>
      <c r="H73" s="92">
        <f t="shared" si="5"/>
        <v>762375.00000000012</v>
      </c>
    </row>
    <row r="74" spans="2:8" ht="15.75" thickBot="1" x14ac:dyDescent="0.3">
      <c r="B74" s="89">
        <v>70</v>
      </c>
      <c r="C74" s="96" t="s">
        <v>128</v>
      </c>
      <c r="D74" s="90">
        <v>1</v>
      </c>
      <c r="E74" s="91">
        <v>609138.65546218492</v>
      </c>
      <c r="F74" s="91">
        <f t="shared" si="3"/>
        <v>115736.34453781514</v>
      </c>
      <c r="G74" s="91">
        <f t="shared" si="4"/>
        <v>724875</v>
      </c>
      <c r="H74" s="92">
        <f t="shared" si="5"/>
        <v>724875</v>
      </c>
    </row>
    <row r="75" spans="2:8" ht="15.75" thickBot="1" x14ac:dyDescent="0.3">
      <c r="B75" s="89">
        <v>71</v>
      </c>
      <c r="C75" s="96" t="s">
        <v>57</v>
      </c>
      <c r="D75" s="90">
        <v>1</v>
      </c>
      <c r="E75" s="91">
        <v>819222.68907563027</v>
      </c>
      <c r="F75" s="91">
        <f t="shared" si="3"/>
        <v>155652.31092436975</v>
      </c>
      <c r="G75" s="91">
        <f t="shared" si="4"/>
        <v>974875</v>
      </c>
      <c r="H75" s="92">
        <f t="shared" si="5"/>
        <v>974875</v>
      </c>
    </row>
    <row r="76" spans="2:8" ht="15.75" thickBot="1" x14ac:dyDescent="0.3">
      <c r="B76" s="89">
        <v>72</v>
      </c>
      <c r="C76" s="96" t="s">
        <v>279</v>
      </c>
      <c r="D76" s="90">
        <v>1</v>
      </c>
      <c r="E76" s="91">
        <v>246986.34453781514</v>
      </c>
      <c r="F76" s="91">
        <f t="shared" si="3"/>
        <v>46927.405462184877</v>
      </c>
      <c r="G76" s="91">
        <f t="shared" si="4"/>
        <v>293913.75</v>
      </c>
      <c r="H76" s="92">
        <f t="shared" si="5"/>
        <v>293913.75</v>
      </c>
    </row>
    <row r="77" spans="2:8" ht="15.75" thickBot="1" x14ac:dyDescent="0.3">
      <c r="B77" s="89">
        <v>73</v>
      </c>
      <c r="C77" s="96" t="s">
        <v>95</v>
      </c>
      <c r="D77" s="90">
        <v>1</v>
      </c>
      <c r="E77" s="91">
        <v>577626.05042016809</v>
      </c>
      <c r="F77" s="91">
        <f t="shared" si="3"/>
        <v>109748.94957983194</v>
      </c>
      <c r="G77" s="91">
        <f t="shared" si="4"/>
        <v>687375</v>
      </c>
      <c r="H77" s="92">
        <f t="shared" si="5"/>
        <v>687375</v>
      </c>
    </row>
    <row r="78" spans="2:8" ht="15.75" thickBot="1" x14ac:dyDescent="0.3">
      <c r="B78" s="89">
        <v>74</v>
      </c>
      <c r="C78" s="96" t="s">
        <v>25</v>
      </c>
      <c r="D78" s="90">
        <v>1</v>
      </c>
      <c r="E78" s="91">
        <v>1301470.5882352942</v>
      </c>
      <c r="F78" s="91">
        <f t="shared" si="3"/>
        <v>247279.4117647059</v>
      </c>
      <c r="G78" s="91">
        <f t="shared" si="4"/>
        <v>1548750</v>
      </c>
      <c r="H78" s="92">
        <f t="shared" si="5"/>
        <v>1548750</v>
      </c>
    </row>
    <row r="79" spans="2:8" ht="15.75" thickBot="1" x14ac:dyDescent="0.3">
      <c r="B79" s="89">
        <v>75</v>
      </c>
      <c r="C79" s="96" t="s">
        <v>280</v>
      </c>
      <c r="D79" s="90">
        <v>1</v>
      </c>
      <c r="E79" s="91">
        <v>1616596.6386554623</v>
      </c>
      <c r="F79" s="91">
        <f t="shared" si="3"/>
        <v>307153.36134453781</v>
      </c>
      <c r="G79" s="91">
        <f t="shared" si="4"/>
        <v>1923750</v>
      </c>
      <c r="H79" s="92">
        <f t="shared" si="5"/>
        <v>1923750</v>
      </c>
    </row>
    <row r="80" spans="2:8" ht="15.75" thickBot="1" x14ac:dyDescent="0.3">
      <c r="B80" s="89">
        <v>76</v>
      </c>
      <c r="C80" s="96" t="s">
        <v>281</v>
      </c>
      <c r="D80" s="90">
        <v>1</v>
      </c>
      <c r="E80" s="91">
        <v>86659.663865546216</v>
      </c>
      <c r="F80" s="91">
        <f t="shared" si="3"/>
        <v>16465.336134453781</v>
      </c>
      <c r="G80" s="91">
        <f t="shared" si="4"/>
        <v>103125</v>
      </c>
      <c r="H80" s="92">
        <f t="shared" si="5"/>
        <v>103125</v>
      </c>
    </row>
    <row r="81" spans="2:8" ht="15.75" thickBot="1" x14ac:dyDescent="0.3">
      <c r="B81" s="89">
        <v>77</v>
      </c>
      <c r="C81" s="96" t="s">
        <v>282</v>
      </c>
      <c r="D81" s="90">
        <v>1</v>
      </c>
      <c r="E81" s="91">
        <v>201575.63025210085</v>
      </c>
      <c r="F81" s="91">
        <f t="shared" si="3"/>
        <v>38299.36974789916</v>
      </c>
      <c r="G81" s="91">
        <f t="shared" si="4"/>
        <v>239875</v>
      </c>
      <c r="H81" s="92">
        <f t="shared" si="5"/>
        <v>239875</v>
      </c>
    </row>
    <row r="82" spans="2:8" ht="15.75" thickBot="1" x14ac:dyDescent="0.3">
      <c r="B82" s="89">
        <v>78</v>
      </c>
      <c r="C82" s="96" t="s">
        <v>103</v>
      </c>
      <c r="D82" s="90">
        <v>1</v>
      </c>
      <c r="E82" s="91">
        <v>102100.84033613445</v>
      </c>
      <c r="F82" s="91">
        <f t="shared" si="3"/>
        <v>19399.159663865546</v>
      </c>
      <c r="G82" s="91">
        <f t="shared" si="4"/>
        <v>121500</v>
      </c>
      <c r="H82" s="92">
        <f t="shared" si="5"/>
        <v>121500</v>
      </c>
    </row>
    <row r="83" spans="2:8" ht="15.75" thickBot="1" x14ac:dyDescent="0.3">
      <c r="B83" s="89">
        <v>79</v>
      </c>
      <c r="C83" s="96" t="s">
        <v>203</v>
      </c>
      <c r="D83" s="90">
        <v>1</v>
      </c>
      <c r="E83" s="91">
        <v>31512.605042016807</v>
      </c>
      <c r="F83" s="91">
        <f t="shared" si="3"/>
        <v>5987.3949579831933</v>
      </c>
      <c r="G83" s="91">
        <f t="shared" si="4"/>
        <v>37500</v>
      </c>
      <c r="H83" s="92">
        <f t="shared" si="5"/>
        <v>37500</v>
      </c>
    </row>
    <row r="84" spans="2:8" ht="15.75" thickBot="1" x14ac:dyDescent="0.3">
      <c r="B84" s="89">
        <v>80</v>
      </c>
      <c r="C84" s="96" t="s">
        <v>212</v>
      </c>
      <c r="D84" s="90">
        <v>1</v>
      </c>
      <c r="E84" s="91">
        <v>76575.630252100847</v>
      </c>
      <c r="F84" s="91">
        <f t="shared" si="3"/>
        <v>14549.369747899162</v>
      </c>
      <c r="G84" s="91">
        <f t="shared" si="4"/>
        <v>91125.000000000015</v>
      </c>
      <c r="H84" s="92">
        <f t="shared" si="5"/>
        <v>91125.000000000015</v>
      </c>
    </row>
    <row r="85" spans="2:8" ht="15.75" thickBot="1" x14ac:dyDescent="0.3">
      <c r="B85" s="89">
        <v>81</v>
      </c>
      <c r="C85" s="96" t="s">
        <v>214</v>
      </c>
      <c r="D85" s="90">
        <v>1</v>
      </c>
      <c r="E85" s="91">
        <v>39810.924369747903</v>
      </c>
      <c r="F85" s="91">
        <f t="shared" si="3"/>
        <v>7564.0756302521013</v>
      </c>
      <c r="G85" s="91">
        <f t="shared" si="4"/>
        <v>47375.000000000007</v>
      </c>
      <c r="H85" s="92">
        <f t="shared" si="5"/>
        <v>47375.000000000007</v>
      </c>
    </row>
    <row r="86" spans="2:8" ht="15.75" thickBot="1" x14ac:dyDescent="0.3">
      <c r="B86" s="89">
        <v>82</v>
      </c>
      <c r="C86" s="96" t="s">
        <v>159</v>
      </c>
      <c r="D86" s="90">
        <v>1</v>
      </c>
      <c r="E86" s="91">
        <v>420063.02521008404</v>
      </c>
      <c r="F86" s="91">
        <f t="shared" si="3"/>
        <v>79811.97478991597</v>
      </c>
      <c r="G86" s="91">
        <f t="shared" si="4"/>
        <v>499875</v>
      </c>
      <c r="H86" s="92">
        <f t="shared" si="5"/>
        <v>499875</v>
      </c>
    </row>
    <row r="87" spans="2:8" ht="26.25" thickBot="1" x14ac:dyDescent="0.3">
      <c r="B87" s="89">
        <v>83</v>
      </c>
      <c r="C87" s="96" t="s">
        <v>37</v>
      </c>
      <c r="D87" s="90">
        <v>1</v>
      </c>
      <c r="E87" s="91">
        <v>2157457.9831932774</v>
      </c>
      <c r="F87" s="91">
        <f t="shared" si="3"/>
        <v>409917.01680672274</v>
      </c>
      <c r="G87" s="91">
        <f t="shared" si="4"/>
        <v>2567375</v>
      </c>
      <c r="H87" s="92">
        <f t="shared" si="5"/>
        <v>2567375</v>
      </c>
    </row>
    <row r="88" spans="2:8" ht="15.75" thickBot="1" x14ac:dyDescent="0.3">
      <c r="B88" s="89">
        <v>84</v>
      </c>
      <c r="C88" s="96" t="s">
        <v>283</v>
      </c>
      <c r="D88" s="90">
        <v>1</v>
      </c>
      <c r="E88" s="91">
        <v>1648109.2436974791</v>
      </c>
      <c r="F88" s="91">
        <f t="shared" si="3"/>
        <v>313140.75630252104</v>
      </c>
      <c r="G88" s="91">
        <f t="shared" si="4"/>
        <v>1961250.0000000002</v>
      </c>
      <c r="H88" s="92">
        <f t="shared" si="5"/>
        <v>1961250.0000000002</v>
      </c>
    </row>
    <row r="89" spans="2:8" ht="15.75" thickBot="1" x14ac:dyDescent="0.3">
      <c r="B89" s="89">
        <v>85</v>
      </c>
      <c r="C89" s="96" t="s">
        <v>164</v>
      </c>
      <c r="D89" s="90">
        <v>1</v>
      </c>
      <c r="E89" s="91">
        <v>172792.71708683475</v>
      </c>
      <c r="F89" s="91">
        <f t="shared" si="3"/>
        <v>32830.616246498605</v>
      </c>
      <c r="G89" s="91">
        <f t="shared" si="4"/>
        <v>205623.33333333334</v>
      </c>
      <c r="H89" s="92">
        <f t="shared" si="5"/>
        <v>205623.33333333334</v>
      </c>
    </row>
    <row r="90" spans="2:8" ht="15.75" thickBot="1" x14ac:dyDescent="0.3">
      <c r="B90" s="89">
        <v>86</v>
      </c>
      <c r="C90" s="96" t="s">
        <v>174</v>
      </c>
      <c r="D90" s="90">
        <v>1</v>
      </c>
      <c r="E90" s="91">
        <v>250945.37815126052</v>
      </c>
      <c r="F90" s="91">
        <f t="shared" si="3"/>
        <v>47679.621848739502</v>
      </c>
      <c r="G90" s="91">
        <f t="shared" si="4"/>
        <v>298625</v>
      </c>
      <c r="H90" s="92">
        <f t="shared" si="5"/>
        <v>298625</v>
      </c>
    </row>
    <row r="91" spans="2:8" ht="26.25" thickBot="1" x14ac:dyDescent="0.3">
      <c r="B91" s="89">
        <v>87</v>
      </c>
      <c r="C91" s="96" t="s">
        <v>284</v>
      </c>
      <c r="D91" s="90">
        <v>1</v>
      </c>
      <c r="E91" s="91">
        <v>1689600.8403361344</v>
      </c>
      <c r="F91" s="91">
        <f t="shared" si="3"/>
        <v>321024.15966386552</v>
      </c>
      <c r="G91" s="91">
        <f t="shared" si="4"/>
        <v>2010625</v>
      </c>
      <c r="H91" s="92">
        <f t="shared" si="5"/>
        <v>2010625</v>
      </c>
    </row>
    <row r="92" spans="2:8" ht="15.75" thickBot="1" x14ac:dyDescent="0.3">
      <c r="B92" s="89">
        <v>88</v>
      </c>
      <c r="C92" s="96" t="s">
        <v>161</v>
      </c>
      <c r="D92" s="90">
        <v>1</v>
      </c>
      <c r="E92" s="91">
        <v>856705.8823529412</v>
      </c>
      <c r="F92" s="91">
        <f t="shared" si="3"/>
        <v>162774.11764705883</v>
      </c>
      <c r="G92" s="91">
        <f t="shared" si="4"/>
        <v>1019480</v>
      </c>
      <c r="H92" s="92">
        <f t="shared" si="5"/>
        <v>1019480</v>
      </c>
    </row>
    <row r="93" spans="2:8" ht="15.75" thickBot="1" x14ac:dyDescent="0.3">
      <c r="B93" s="89">
        <v>89</v>
      </c>
      <c r="C93" s="96" t="s">
        <v>112</v>
      </c>
      <c r="D93" s="90">
        <v>1</v>
      </c>
      <c r="E93" s="91">
        <v>139600.84033613445</v>
      </c>
      <c r="F93" s="91">
        <f t="shared" si="3"/>
        <v>26524.159663865546</v>
      </c>
      <c r="G93" s="91">
        <f t="shared" si="4"/>
        <v>166125</v>
      </c>
      <c r="H93" s="92">
        <f t="shared" si="5"/>
        <v>166125</v>
      </c>
    </row>
    <row r="94" spans="2:8" ht="15.75" thickBot="1" x14ac:dyDescent="0.3">
      <c r="B94" s="89">
        <v>90</v>
      </c>
      <c r="C94" s="96" t="s">
        <v>110</v>
      </c>
      <c r="D94" s="90">
        <v>1</v>
      </c>
      <c r="E94" s="91">
        <v>182247.89915966388</v>
      </c>
      <c r="F94" s="91">
        <f t="shared" si="3"/>
        <v>34627.100840336141</v>
      </c>
      <c r="G94" s="91">
        <f t="shared" si="4"/>
        <v>216875.00000000003</v>
      </c>
      <c r="H94" s="92">
        <f t="shared" si="5"/>
        <v>216875.00000000003</v>
      </c>
    </row>
    <row r="95" spans="2:8" ht="15.75" thickBot="1" x14ac:dyDescent="0.3">
      <c r="B95" s="89">
        <v>91</v>
      </c>
      <c r="C95" s="96" t="s">
        <v>285</v>
      </c>
      <c r="D95" s="90">
        <v>1</v>
      </c>
      <c r="E95" s="91">
        <v>255147.05882352943</v>
      </c>
      <c r="F95" s="91">
        <f t="shared" si="3"/>
        <v>48477.941176470595</v>
      </c>
      <c r="G95" s="91">
        <f t="shared" si="4"/>
        <v>303625</v>
      </c>
      <c r="H95" s="92">
        <f t="shared" si="5"/>
        <v>303625</v>
      </c>
    </row>
    <row r="96" spans="2:8" ht="26.25" thickBot="1" x14ac:dyDescent="0.3">
      <c r="B96" s="89">
        <v>92</v>
      </c>
      <c r="C96" s="96" t="s">
        <v>286</v>
      </c>
      <c r="D96" s="90">
        <v>1</v>
      </c>
      <c r="E96" s="91">
        <v>109470.58823529413</v>
      </c>
      <c r="F96" s="91">
        <f t="shared" si="3"/>
        <v>20799.411764705885</v>
      </c>
      <c r="G96" s="91">
        <f t="shared" si="4"/>
        <v>130270.00000000001</v>
      </c>
      <c r="H96" s="92">
        <f t="shared" si="5"/>
        <v>130270.00000000001</v>
      </c>
    </row>
    <row r="97" spans="2:8" ht="15.75" thickBot="1" x14ac:dyDescent="0.3">
      <c r="B97" s="89">
        <v>93</v>
      </c>
      <c r="C97" s="97" t="s">
        <v>287</v>
      </c>
      <c r="D97" s="90">
        <v>1</v>
      </c>
      <c r="E97" s="91">
        <v>661659.66386554623</v>
      </c>
      <c r="F97" s="91">
        <f t="shared" si="3"/>
        <v>125715.33613445378</v>
      </c>
      <c r="G97" s="91">
        <f t="shared" si="4"/>
        <v>787375</v>
      </c>
      <c r="H97" s="92">
        <f t="shared" si="5"/>
        <v>787375</v>
      </c>
    </row>
    <row r="98" spans="2:8" ht="26.25" thickBot="1" x14ac:dyDescent="0.3">
      <c r="B98" s="100">
        <v>94</v>
      </c>
      <c r="C98" s="101" t="s">
        <v>288</v>
      </c>
      <c r="D98" s="90">
        <v>1</v>
      </c>
      <c r="E98" s="91">
        <v>0</v>
      </c>
      <c r="F98" s="91">
        <f t="shared" si="3"/>
        <v>0</v>
      </c>
      <c r="G98" s="91">
        <f t="shared" si="4"/>
        <v>0</v>
      </c>
      <c r="H98" s="92">
        <f t="shared" si="5"/>
        <v>0</v>
      </c>
    </row>
    <row r="99" spans="2:8" ht="26.25" thickBot="1" x14ac:dyDescent="0.3">
      <c r="B99" s="100">
        <v>95</v>
      </c>
      <c r="C99" s="101" t="s">
        <v>289</v>
      </c>
      <c r="D99" s="90">
        <v>1</v>
      </c>
      <c r="E99" s="91">
        <v>317891.80672268907</v>
      </c>
      <c r="F99" s="91">
        <f t="shared" si="3"/>
        <v>60399.443277310922</v>
      </c>
      <c r="G99" s="91">
        <f t="shared" si="4"/>
        <v>378291.25</v>
      </c>
      <c r="H99" s="92">
        <f t="shared" si="5"/>
        <v>378291.25</v>
      </c>
    </row>
    <row r="100" spans="2:8" ht="15.75" thickBot="1" x14ac:dyDescent="0.3">
      <c r="B100" s="89">
        <v>96</v>
      </c>
      <c r="C100" s="96" t="s">
        <v>290</v>
      </c>
      <c r="D100" s="90">
        <v>1</v>
      </c>
      <c r="E100" s="91">
        <v>706250</v>
      </c>
      <c r="F100" s="91">
        <f t="shared" si="3"/>
        <v>134187.5</v>
      </c>
      <c r="G100" s="91">
        <f t="shared" si="4"/>
        <v>840437.5</v>
      </c>
      <c r="H100" s="92">
        <f t="shared" si="5"/>
        <v>840437.5</v>
      </c>
    </row>
    <row r="101" spans="2:8" ht="15.75" thickBot="1" x14ac:dyDescent="0.3">
      <c r="B101" s="89">
        <v>97</v>
      </c>
      <c r="C101" s="96" t="s">
        <v>55</v>
      </c>
      <c r="D101" s="90">
        <v>1</v>
      </c>
      <c r="E101" s="91">
        <v>205199.57983193279</v>
      </c>
      <c r="F101" s="91">
        <f t="shared" si="3"/>
        <v>38987.920168067227</v>
      </c>
      <c r="G101" s="91">
        <f t="shared" si="4"/>
        <v>244187.5</v>
      </c>
      <c r="H101" s="92">
        <f t="shared" si="5"/>
        <v>244187.5</v>
      </c>
    </row>
    <row r="102" spans="2:8" ht="15.75" thickBot="1" x14ac:dyDescent="0.3">
      <c r="B102" s="89">
        <v>98</v>
      </c>
      <c r="C102" s="96" t="s">
        <v>291</v>
      </c>
      <c r="D102" s="90">
        <v>1</v>
      </c>
      <c r="E102" s="91">
        <v>38760.504201680676</v>
      </c>
      <c r="F102" s="91">
        <f t="shared" si="3"/>
        <v>7364.495798319329</v>
      </c>
      <c r="G102" s="91">
        <f t="shared" si="4"/>
        <v>46125.000000000007</v>
      </c>
      <c r="H102" s="92">
        <f t="shared" si="5"/>
        <v>46125.000000000007</v>
      </c>
    </row>
    <row r="103" spans="2:8" ht="15.75" thickBot="1" x14ac:dyDescent="0.3">
      <c r="B103" s="89">
        <v>99</v>
      </c>
      <c r="C103" s="96" t="s">
        <v>68</v>
      </c>
      <c r="D103" s="90">
        <v>1</v>
      </c>
      <c r="E103" s="91">
        <v>388550.42016806727</v>
      </c>
      <c r="F103" s="91">
        <f t="shared" si="3"/>
        <v>73824.579831932788</v>
      </c>
      <c r="G103" s="91">
        <f t="shared" si="4"/>
        <v>462375.00000000006</v>
      </c>
      <c r="H103" s="92">
        <f t="shared" si="5"/>
        <v>462375.00000000006</v>
      </c>
    </row>
    <row r="104" spans="2:8" ht="15.75" thickBot="1" x14ac:dyDescent="0.3">
      <c r="B104" s="89">
        <v>100</v>
      </c>
      <c r="C104" s="96" t="s">
        <v>170</v>
      </c>
      <c r="D104" s="90">
        <v>1</v>
      </c>
      <c r="E104" s="91">
        <v>319222.68907563027</v>
      </c>
      <c r="F104" s="91">
        <f t="shared" si="3"/>
        <v>60652.310924369755</v>
      </c>
      <c r="G104" s="91">
        <f t="shared" si="4"/>
        <v>379875</v>
      </c>
      <c r="H104" s="92">
        <f t="shared" si="5"/>
        <v>379875</v>
      </c>
    </row>
    <row r="105" spans="2:8" ht="15.75" thickBot="1" x14ac:dyDescent="0.3">
      <c r="B105" s="89">
        <v>101</v>
      </c>
      <c r="C105" s="96" t="s">
        <v>270</v>
      </c>
      <c r="D105" s="90">
        <v>1</v>
      </c>
      <c r="E105" s="91">
        <v>94432.773109243702</v>
      </c>
      <c r="F105" s="91">
        <f t="shared" si="3"/>
        <v>17942.226890756305</v>
      </c>
      <c r="G105" s="91">
        <f t="shared" si="4"/>
        <v>112375</v>
      </c>
      <c r="H105" s="92">
        <f t="shared" si="5"/>
        <v>112375</v>
      </c>
    </row>
    <row r="106" spans="2:8" ht="15.75" thickBot="1" x14ac:dyDescent="0.3">
      <c r="B106" s="89">
        <v>102</v>
      </c>
      <c r="C106" s="96" t="s">
        <v>292</v>
      </c>
      <c r="D106" s="90">
        <v>1</v>
      </c>
      <c r="E106" s="91">
        <v>18802.521008403361</v>
      </c>
      <c r="F106" s="91">
        <f t="shared" si="3"/>
        <v>3572.4789915966385</v>
      </c>
      <c r="G106" s="91">
        <f t="shared" si="4"/>
        <v>22375</v>
      </c>
      <c r="H106" s="92">
        <f t="shared" si="5"/>
        <v>22375</v>
      </c>
    </row>
    <row r="107" spans="2:8" ht="15.75" thickBot="1" x14ac:dyDescent="0.3">
      <c r="B107" s="89">
        <v>103</v>
      </c>
      <c r="C107" s="96" t="s">
        <v>293</v>
      </c>
      <c r="D107" s="90">
        <v>1</v>
      </c>
      <c r="E107" s="91">
        <v>47163.865546218491</v>
      </c>
      <c r="F107" s="91">
        <f t="shared" si="3"/>
        <v>8961.134453781513</v>
      </c>
      <c r="G107" s="91">
        <f t="shared" si="4"/>
        <v>56125</v>
      </c>
      <c r="H107" s="92">
        <f t="shared" si="5"/>
        <v>56125</v>
      </c>
    </row>
    <row r="108" spans="2:8" ht="15.75" thickBot="1" x14ac:dyDescent="0.3">
      <c r="B108" s="89">
        <v>104</v>
      </c>
      <c r="C108" s="96" t="s">
        <v>72</v>
      </c>
      <c r="D108" s="90">
        <v>1</v>
      </c>
      <c r="E108" s="91">
        <v>1239390.7563025211</v>
      </c>
      <c r="F108" s="91">
        <f t="shared" si="3"/>
        <v>235484.24369747902</v>
      </c>
      <c r="G108" s="91">
        <f t="shared" si="4"/>
        <v>1474875</v>
      </c>
      <c r="H108" s="92">
        <f t="shared" si="5"/>
        <v>1474875</v>
      </c>
    </row>
    <row r="109" spans="2:8" ht="15.75" thickBot="1" x14ac:dyDescent="0.3">
      <c r="B109" s="89">
        <v>105</v>
      </c>
      <c r="C109" s="96" t="s">
        <v>209</v>
      </c>
      <c r="D109" s="90">
        <v>1</v>
      </c>
      <c r="E109" s="91">
        <v>52415.966386554624</v>
      </c>
      <c r="F109" s="91">
        <f t="shared" si="3"/>
        <v>9959.0336134453792</v>
      </c>
      <c r="G109" s="91">
        <f t="shared" si="4"/>
        <v>62375</v>
      </c>
      <c r="H109" s="92">
        <f t="shared" si="5"/>
        <v>62375</v>
      </c>
    </row>
    <row r="110" spans="2:8" ht="15.75" thickBot="1" x14ac:dyDescent="0.3">
      <c r="B110" s="89">
        <v>106</v>
      </c>
      <c r="C110" s="99" t="s">
        <v>294</v>
      </c>
      <c r="D110" s="90">
        <v>1</v>
      </c>
      <c r="E110" s="91">
        <v>273004.2016806723</v>
      </c>
      <c r="F110" s="91">
        <f t="shared" si="3"/>
        <v>51870.79831932774</v>
      </c>
      <c r="G110" s="91">
        <f t="shared" si="4"/>
        <v>324875.00000000006</v>
      </c>
      <c r="H110" s="92">
        <f t="shared" si="5"/>
        <v>324875.00000000006</v>
      </c>
    </row>
    <row r="111" spans="2:8" x14ac:dyDescent="0.25">
      <c r="E111" s="126">
        <f t="shared" ref="E111:H111" si="6">SUM(E5:E110)</f>
        <v>211000336.53461385</v>
      </c>
      <c r="F111" s="126">
        <f t="shared" si="6"/>
        <v>40090063.94157663</v>
      </c>
      <c r="G111" s="126">
        <f t="shared" si="6"/>
        <v>251090400.47619048</v>
      </c>
      <c r="H111" s="126">
        <f t="shared" si="6"/>
        <v>251090400.47619048</v>
      </c>
    </row>
    <row r="113" spans="3:3" x14ac:dyDescent="0.25">
      <c r="C113" s="102" t="s">
        <v>295</v>
      </c>
    </row>
    <row r="114" spans="3:3" x14ac:dyDescent="0.25">
      <c r="C114" s="102" t="s">
        <v>296</v>
      </c>
    </row>
    <row r="115" spans="3:3" x14ac:dyDescent="0.25">
      <c r="C115" s="102" t="s">
        <v>297</v>
      </c>
    </row>
  </sheetData>
  <mergeCells count="6">
    <mergeCell ref="H3:H4"/>
    <mergeCell ref="B3:B4"/>
    <mergeCell ref="C3:C4"/>
    <mergeCell ref="E3:E4"/>
    <mergeCell ref="F3:F4"/>
    <mergeCell ref="G3:G4"/>
  </mergeCell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J108"/>
  <sheetViews>
    <sheetView zoomScaleNormal="100" zoomScaleSheetLayoutView="100" workbookViewId="0">
      <pane xSplit="1" ySplit="1" topLeftCell="B73" activePane="bottomRight" state="frozen"/>
      <selection pane="topRight" activeCell="B1" sqref="B1"/>
      <selection pane="bottomLeft" activeCell="A2" sqref="A2"/>
      <selection pane="bottomRight" activeCell="H65" sqref="H65"/>
    </sheetView>
  </sheetViews>
  <sheetFormatPr baseColWidth="10" defaultColWidth="14.42578125" defaultRowHeight="15" x14ac:dyDescent="0.25"/>
  <cols>
    <col min="1" max="1" width="11.42578125" style="107" customWidth="1"/>
    <col min="2" max="2" width="55.28515625" style="107" customWidth="1"/>
    <col min="3" max="4" width="11.42578125" style="107" customWidth="1"/>
    <col min="5" max="5" width="1" style="107" customWidth="1"/>
    <col min="6" max="6" width="13.85546875" style="112" customWidth="1"/>
    <col min="7" max="7" width="12.85546875" style="112" bestFit="1" customWidth="1"/>
    <col min="8" max="8" width="13.7109375" style="112" customWidth="1"/>
    <col min="9" max="9" width="13.5703125" style="112" customWidth="1"/>
    <col min="10" max="10" width="1.140625" style="112" customWidth="1"/>
    <col min="11" max="16" width="10.7109375" style="107" customWidth="1"/>
    <col min="17" max="16384" width="14.42578125" style="107"/>
  </cols>
  <sheetData>
    <row r="1" spans="1:10" ht="15.75" thickBot="1" x14ac:dyDescent="0.3">
      <c r="A1" s="103" t="s">
        <v>298</v>
      </c>
      <c r="B1" s="103" t="s">
        <v>1</v>
      </c>
      <c r="C1" s="103" t="s">
        <v>299</v>
      </c>
      <c r="D1" s="103" t="s">
        <v>5</v>
      </c>
      <c r="E1" s="104"/>
      <c r="F1" s="105" t="s">
        <v>300</v>
      </c>
      <c r="G1" s="105" t="s">
        <v>301</v>
      </c>
      <c r="H1" s="105" t="s">
        <v>302</v>
      </c>
      <c r="I1" s="105" t="s">
        <v>18</v>
      </c>
      <c r="J1" s="106"/>
    </row>
    <row r="2" spans="1:10" ht="30" hidden="1" x14ac:dyDescent="0.25">
      <c r="A2" s="108">
        <v>1</v>
      </c>
      <c r="B2" s="109" t="s">
        <v>228</v>
      </c>
      <c r="C2" s="110" t="s">
        <v>303</v>
      </c>
      <c r="D2" s="110">
        <v>1</v>
      </c>
      <c r="E2" s="111"/>
      <c r="F2" s="112">
        <v>0</v>
      </c>
      <c r="G2" s="112">
        <f>F2*19%</f>
        <v>0</v>
      </c>
      <c r="H2" s="112">
        <f>F2+G2</f>
        <v>0</v>
      </c>
      <c r="I2" s="112">
        <f>H2*D2</f>
        <v>0</v>
      </c>
      <c r="J2" s="113"/>
    </row>
    <row r="3" spans="1:10" ht="16.5" hidden="1" x14ac:dyDescent="0.25">
      <c r="A3" s="108">
        <v>2</v>
      </c>
      <c r="B3" s="109" t="s">
        <v>79</v>
      </c>
      <c r="C3" s="110" t="s">
        <v>303</v>
      </c>
      <c r="D3" s="110">
        <v>1</v>
      </c>
      <c r="E3" s="111"/>
      <c r="F3" s="112">
        <v>0</v>
      </c>
      <c r="G3" s="112">
        <f t="shared" ref="G3:G66" si="0">F3*19%</f>
        <v>0</v>
      </c>
      <c r="H3" s="112">
        <f t="shared" ref="H3:H66" si="1">F3+G3</f>
        <v>0</v>
      </c>
      <c r="I3" s="112">
        <f t="shared" ref="I3:I66" si="2">H3*D3</f>
        <v>0</v>
      </c>
      <c r="J3" s="113"/>
    </row>
    <row r="4" spans="1:10" ht="16.5" hidden="1" x14ac:dyDescent="0.25">
      <c r="A4" s="108">
        <v>3</v>
      </c>
      <c r="B4" s="109" t="s">
        <v>241</v>
      </c>
      <c r="C4" s="110" t="s">
        <v>303</v>
      </c>
      <c r="D4" s="110">
        <v>1</v>
      </c>
      <c r="E4" s="111"/>
      <c r="F4" s="112">
        <v>0</v>
      </c>
      <c r="G4" s="112">
        <f t="shared" si="0"/>
        <v>0</v>
      </c>
      <c r="H4" s="112">
        <f t="shared" si="1"/>
        <v>0</v>
      </c>
      <c r="I4" s="112">
        <f t="shared" si="2"/>
        <v>0</v>
      </c>
      <c r="J4" s="113"/>
    </row>
    <row r="5" spans="1:10" ht="16.5" hidden="1" x14ac:dyDescent="0.25">
      <c r="A5" s="108">
        <v>4</v>
      </c>
      <c r="B5" s="109" t="s">
        <v>75</v>
      </c>
      <c r="C5" s="110" t="s">
        <v>303</v>
      </c>
      <c r="D5" s="110">
        <v>1</v>
      </c>
      <c r="E5" s="111"/>
      <c r="F5" s="112">
        <v>0</v>
      </c>
      <c r="G5" s="112">
        <f t="shared" si="0"/>
        <v>0</v>
      </c>
      <c r="H5" s="112">
        <f t="shared" si="1"/>
        <v>0</v>
      </c>
      <c r="I5" s="112">
        <f t="shared" si="2"/>
        <v>0</v>
      </c>
      <c r="J5" s="113"/>
    </row>
    <row r="6" spans="1:10" ht="17.25" hidden="1" thickBot="1" x14ac:dyDescent="0.3">
      <c r="A6" s="108">
        <v>5</v>
      </c>
      <c r="B6" s="109" t="s">
        <v>167</v>
      </c>
      <c r="C6" s="110" t="s">
        <v>303</v>
      </c>
      <c r="D6" s="110">
        <v>1</v>
      </c>
      <c r="E6" s="104"/>
      <c r="F6" s="112">
        <v>0</v>
      </c>
      <c r="G6" s="112">
        <f t="shared" si="0"/>
        <v>0</v>
      </c>
      <c r="H6" s="112">
        <f t="shared" si="1"/>
        <v>0</v>
      </c>
      <c r="I6" s="112">
        <f t="shared" si="2"/>
        <v>0</v>
      </c>
      <c r="J6" s="106"/>
    </row>
    <row r="7" spans="1:10" ht="30" hidden="1" x14ac:dyDescent="0.25">
      <c r="A7" s="108">
        <v>6</v>
      </c>
      <c r="B7" s="109" t="s">
        <v>242</v>
      </c>
      <c r="C7" s="110" t="s">
        <v>303</v>
      </c>
      <c r="D7" s="110">
        <v>1</v>
      </c>
      <c r="E7" s="111"/>
      <c r="F7" s="112">
        <v>0</v>
      </c>
      <c r="G7" s="112">
        <f t="shared" si="0"/>
        <v>0</v>
      </c>
      <c r="H7" s="112">
        <f t="shared" si="1"/>
        <v>0</v>
      </c>
      <c r="I7" s="112">
        <f t="shared" si="2"/>
        <v>0</v>
      </c>
      <c r="J7" s="113"/>
    </row>
    <row r="8" spans="1:10" ht="16.5" x14ac:dyDescent="0.25">
      <c r="A8" s="108">
        <v>7</v>
      </c>
      <c r="B8" s="109" t="s">
        <v>43</v>
      </c>
      <c r="C8" s="110" t="s">
        <v>303</v>
      </c>
      <c r="D8" s="110">
        <v>1</v>
      </c>
      <c r="E8" s="111"/>
      <c r="F8" s="112">
        <v>126600</v>
      </c>
      <c r="G8" s="112">
        <f t="shared" si="0"/>
        <v>24054</v>
      </c>
      <c r="H8" s="112">
        <f t="shared" si="1"/>
        <v>150654</v>
      </c>
      <c r="I8" s="112">
        <f t="shared" si="2"/>
        <v>150654</v>
      </c>
      <c r="J8" s="113"/>
    </row>
    <row r="9" spans="1:10" ht="30" hidden="1" x14ac:dyDescent="0.25">
      <c r="A9" s="108">
        <v>8</v>
      </c>
      <c r="B9" s="109" t="s">
        <v>243</v>
      </c>
      <c r="C9" s="110" t="s">
        <v>303</v>
      </c>
      <c r="D9" s="110">
        <v>1</v>
      </c>
      <c r="E9" s="111"/>
      <c r="F9" s="112">
        <v>0</v>
      </c>
      <c r="G9" s="112">
        <f t="shared" si="0"/>
        <v>0</v>
      </c>
      <c r="H9" s="112">
        <f t="shared" si="1"/>
        <v>0</v>
      </c>
      <c r="I9" s="112">
        <f t="shared" si="2"/>
        <v>0</v>
      </c>
      <c r="J9" s="113"/>
    </row>
    <row r="10" spans="1:10" ht="16.5" x14ac:dyDescent="0.25">
      <c r="A10" s="108">
        <v>9</v>
      </c>
      <c r="B10" s="109" t="s">
        <v>244</v>
      </c>
      <c r="C10" s="110" t="s">
        <v>303</v>
      </c>
      <c r="D10" s="110">
        <v>1</v>
      </c>
      <c r="E10" s="111"/>
      <c r="F10" s="112">
        <v>2506666.6666666665</v>
      </c>
      <c r="G10" s="112">
        <f t="shared" si="0"/>
        <v>476266.66666666663</v>
      </c>
      <c r="H10" s="112">
        <f t="shared" si="1"/>
        <v>2982933.333333333</v>
      </c>
      <c r="I10" s="112">
        <f t="shared" si="2"/>
        <v>2982933.333333333</v>
      </c>
      <c r="J10" s="113"/>
    </row>
    <row r="11" spans="1:10" ht="16.5" hidden="1" x14ac:dyDescent="0.25">
      <c r="A11" s="108">
        <v>10</v>
      </c>
      <c r="B11" s="109" t="s">
        <v>245</v>
      </c>
      <c r="C11" s="110" t="s">
        <v>303</v>
      </c>
      <c r="D11" s="110">
        <v>1</v>
      </c>
      <c r="E11" s="111"/>
      <c r="F11" s="112">
        <v>0</v>
      </c>
      <c r="G11" s="112">
        <f t="shared" si="0"/>
        <v>0</v>
      </c>
      <c r="H11" s="112">
        <f t="shared" si="1"/>
        <v>0</v>
      </c>
      <c r="I11" s="112">
        <f t="shared" si="2"/>
        <v>0</v>
      </c>
      <c r="J11" s="113"/>
    </row>
    <row r="12" spans="1:10" ht="16.5" x14ac:dyDescent="0.25">
      <c r="A12" s="108">
        <v>11</v>
      </c>
      <c r="B12" s="109" t="s">
        <v>246</v>
      </c>
      <c r="C12" s="110" t="s">
        <v>303</v>
      </c>
      <c r="D12" s="110">
        <v>1</v>
      </c>
      <c r="E12" s="111"/>
      <c r="F12" s="112">
        <v>60666.666666666664</v>
      </c>
      <c r="G12" s="112">
        <f t="shared" si="0"/>
        <v>11526.666666666666</v>
      </c>
      <c r="H12" s="112">
        <f t="shared" si="1"/>
        <v>72193.333333333328</v>
      </c>
      <c r="I12" s="112">
        <f t="shared" si="2"/>
        <v>72193.333333333328</v>
      </c>
      <c r="J12" s="113"/>
    </row>
    <row r="13" spans="1:10" ht="16.5" x14ac:dyDescent="0.25">
      <c r="A13" s="108">
        <v>12</v>
      </c>
      <c r="B13" s="109" t="s">
        <v>149</v>
      </c>
      <c r="C13" s="110" t="s">
        <v>303</v>
      </c>
      <c r="D13" s="110">
        <v>1</v>
      </c>
      <c r="E13" s="111"/>
      <c r="F13" s="112">
        <v>120266.66666666667</v>
      </c>
      <c r="G13" s="112">
        <f t="shared" si="0"/>
        <v>22850.666666666668</v>
      </c>
      <c r="H13" s="112">
        <f t="shared" si="1"/>
        <v>143117.33333333334</v>
      </c>
      <c r="I13" s="112">
        <f t="shared" si="2"/>
        <v>143117.33333333334</v>
      </c>
      <c r="J13" s="113"/>
    </row>
    <row r="14" spans="1:10" ht="30" hidden="1" x14ac:dyDescent="0.25">
      <c r="A14" s="108">
        <v>13</v>
      </c>
      <c r="B14" s="109" t="s">
        <v>227</v>
      </c>
      <c r="C14" s="110" t="s">
        <v>303</v>
      </c>
      <c r="D14" s="110">
        <v>1</v>
      </c>
      <c r="E14" s="111"/>
      <c r="F14" s="112">
        <v>0</v>
      </c>
      <c r="G14" s="112">
        <f t="shared" si="0"/>
        <v>0</v>
      </c>
      <c r="H14" s="112">
        <f t="shared" si="1"/>
        <v>0</v>
      </c>
      <c r="I14" s="112">
        <f t="shared" si="2"/>
        <v>0</v>
      </c>
      <c r="J14" s="113"/>
    </row>
    <row r="15" spans="1:10" ht="16.5" x14ac:dyDescent="0.25">
      <c r="A15" s="108">
        <v>14</v>
      </c>
      <c r="B15" s="109" t="s">
        <v>247</v>
      </c>
      <c r="C15" s="110" t="s">
        <v>303</v>
      </c>
      <c r="D15" s="110">
        <v>1</v>
      </c>
      <c r="E15" s="111"/>
      <c r="F15" s="112">
        <v>266400</v>
      </c>
      <c r="G15" s="112">
        <f t="shared" si="0"/>
        <v>50616</v>
      </c>
      <c r="H15" s="112">
        <f t="shared" si="1"/>
        <v>317016</v>
      </c>
      <c r="I15" s="112">
        <f t="shared" si="2"/>
        <v>317016</v>
      </c>
      <c r="J15" s="113"/>
    </row>
    <row r="16" spans="1:10" ht="16.5" hidden="1" x14ac:dyDescent="0.25">
      <c r="A16" s="108">
        <v>15</v>
      </c>
      <c r="B16" s="109" t="s">
        <v>233</v>
      </c>
      <c r="C16" s="110" t="s">
        <v>303</v>
      </c>
      <c r="D16" s="110">
        <v>1</v>
      </c>
      <c r="E16" s="111"/>
      <c r="F16" s="112">
        <v>0</v>
      </c>
      <c r="G16" s="112">
        <f t="shared" si="0"/>
        <v>0</v>
      </c>
      <c r="H16" s="112">
        <f t="shared" si="1"/>
        <v>0</v>
      </c>
      <c r="I16" s="112">
        <f t="shared" si="2"/>
        <v>0</v>
      </c>
      <c r="J16" s="113"/>
    </row>
    <row r="17" spans="1:10" ht="30" x14ac:dyDescent="0.25">
      <c r="A17" s="108">
        <v>16</v>
      </c>
      <c r="B17" s="109" t="s">
        <v>248</v>
      </c>
      <c r="C17" s="110" t="s">
        <v>303</v>
      </c>
      <c r="D17" s="110">
        <v>1</v>
      </c>
      <c r="E17" s="111"/>
      <c r="F17" s="112">
        <v>727333.33333333337</v>
      </c>
      <c r="G17" s="112">
        <f t="shared" si="0"/>
        <v>138193.33333333334</v>
      </c>
      <c r="H17" s="112">
        <f t="shared" si="1"/>
        <v>865526.66666666674</v>
      </c>
      <c r="I17" s="112">
        <f t="shared" si="2"/>
        <v>865526.66666666674</v>
      </c>
      <c r="J17" s="113"/>
    </row>
    <row r="18" spans="1:10" ht="16.5" x14ac:dyDescent="0.25">
      <c r="A18" s="108">
        <v>17</v>
      </c>
      <c r="B18" s="109" t="s">
        <v>29</v>
      </c>
      <c r="C18" s="110" t="s">
        <v>303</v>
      </c>
      <c r="D18" s="110">
        <v>1</v>
      </c>
      <c r="E18" s="111"/>
      <c r="F18" s="112">
        <v>1007733.3333333334</v>
      </c>
      <c r="G18" s="112">
        <f t="shared" si="0"/>
        <v>191469.33333333334</v>
      </c>
      <c r="H18" s="112">
        <f t="shared" si="1"/>
        <v>1199202.6666666667</v>
      </c>
      <c r="I18" s="112">
        <f t="shared" si="2"/>
        <v>1199202.6666666667</v>
      </c>
      <c r="J18" s="113"/>
    </row>
    <row r="19" spans="1:10" ht="16.5" hidden="1" x14ac:dyDescent="0.25">
      <c r="A19" s="108">
        <v>18</v>
      </c>
      <c r="B19" s="109" t="s">
        <v>201</v>
      </c>
      <c r="C19" s="110" t="s">
        <v>303</v>
      </c>
      <c r="D19" s="110">
        <v>1</v>
      </c>
      <c r="E19" s="111"/>
      <c r="F19" s="112">
        <v>0</v>
      </c>
      <c r="G19" s="112">
        <f t="shared" si="0"/>
        <v>0</v>
      </c>
      <c r="H19" s="112">
        <f t="shared" si="1"/>
        <v>0</v>
      </c>
      <c r="I19" s="112">
        <f t="shared" si="2"/>
        <v>0</v>
      </c>
      <c r="J19" s="113"/>
    </row>
    <row r="20" spans="1:10" ht="30" x14ac:dyDescent="0.25">
      <c r="A20" s="108">
        <v>19</v>
      </c>
      <c r="B20" s="109" t="s">
        <v>249</v>
      </c>
      <c r="C20" s="110" t="s">
        <v>303</v>
      </c>
      <c r="D20" s="110">
        <v>1</v>
      </c>
      <c r="E20" s="111"/>
      <c r="F20" s="112">
        <v>60666.666666666664</v>
      </c>
      <c r="G20" s="112">
        <f t="shared" si="0"/>
        <v>11526.666666666666</v>
      </c>
      <c r="H20" s="112">
        <f t="shared" si="1"/>
        <v>72193.333333333328</v>
      </c>
      <c r="I20" s="112">
        <f t="shared" si="2"/>
        <v>72193.333333333328</v>
      </c>
      <c r="J20" s="113"/>
    </row>
    <row r="21" spans="1:10" ht="45" hidden="1" x14ac:dyDescent="0.25">
      <c r="A21" s="108">
        <v>20</v>
      </c>
      <c r="B21" s="109" t="s">
        <v>250</v>
      </c>
      <c r="C21" s="110" t="s">
        <v>303</v>
      </c>
      <c r="D21" s="110">
        <v>1</v>
      </c>
      <c r="E21" s="111"/>
      <c r="F21" s="112">
        <v>0</v>
      </c>
      <c r="G21" s="112">
        <f t="shared" si="0"/>
        <v>0</v>
      </c>
      <c r="H21" s="112">
        <f t="shared" si="1"/>
        <v>0</v>
      </c>
      <c r="I21" s="112">
        <f t="shared" si="2"/>
        <v>0</v>
      </c>
      <c r="J21" s="113"/>
    </row>
    <row r="22" spans="1:10" ht="16.5" hidden="1" x14ac:dyDescent="0.25">
      <c r="A22" s="108">
        <v>21</v>
      </c>
      <c r="B22" s="109" t="s">
        <v>251</v>
      </c>
      <c r="C22" s="110" t="s">
        <v>303</v>
      </c>
      <c r="D22" s="110">
        <v>1</v>
      </c>
      <c r="E22" s="111"/>
      <c r="F22" s="112">
        <v>0</v>
      </c>
      <c r="G22" s="112">
        <f t="shared" si="0"/>
        <v>0</v>
      </c>
      <c r="H22" s="112">
        <f t="shared" si="1"/>
        <v>0</v>
      </c>
      <c r="I22" s="112">
        <f t="shared" si="2"/>
        <v>0</v>
      </c>
      <c r="J22" s="113"/>
    </row>
    <row r="23" spans="1:10" ht="60" hidden="1" x14ac:dyDescent="0.25">
      <c r="A23" s="108">
        <v>22</v>
      </c>
      <c r="B23" s="114" t="s">
        <v>252</v>
      </c>
      <c r="C23" s="110" t="s">
        <v>303</v>
      </c>
      <c r="D23" s="110">
        <v>1</v>
      </c>
      <c r="E23" s="111"/>
      <c r="F23" s="112">
        <v>0</v>
      </c>
      <c r="G23" s="112">
        <f t="shared" si="0"/>
        <v>0</v>
      </c>
      <c r="H23" s="112">
        <f t="shared" si="1"/>
        <v>0</v>
      </c>
      <c r="I23" s="112">
        <f t="shared" si="2"/>
        <v>0</v>
      </c>
      <c r="J23" s="113"/>
    </row>
    <row r="24" spans="1:10" ht="16.5" hidden="1" x14ac:dyDescent="0.25">
      <c r="A24" s="108">
        <v>23</v>
      </c>
      <c r="B24" s="109" t="s">
        <v>253</v>
      </c>
      <c r="C24" s="110" t="s">
        <v>303</v>
      </c>
      <c r="D24" s="110">
        <v>1</v>
      </c>
      <c r="E24" s="111"/>
      <c r="F24" s="112">
        <v>0</v>
      </c>
      <c r="G24" s="112">
        <f t="shared" si="0"/>
        <v>0</v>
      </c>
      <c r="H24" s="112">
        <f t="shared" si="1"/>
        <v>0</v>
      </c>
      <c r="I24" s="112">
        <f t="shared" si="2"/>
        <v>0</v>
      </c>
      <c r="J24" s="113"/>
    </row>
    <row r="25" spans="1:10" ht="16.5" x14ac:dyDescent="0.25">
      <c r="A25" s="108">
        <v>24</v>
      </c>
      <c r="B25" s="109" t="s">
        <v>254</v>
      </c>
      <c r="C25" s="110" t="s">
        <v>303</v>
      </c>
      <c r="D25" s="110">
        <v>1</v>
      </c>
      <c r="E25" s="111"/>
      <c r="F25" s="112">
        <v>194133.33333333334</v>
      </c>
      <c r="G25" s="112">
        <f t="shared" si="0"/>
        <v>36885.333333333336</v>
      </c>
      <c r="H25" s="112">
        <f t="shared" si="1"/>
        <v>231018.66666666669</v>
      </c>
      <c r="I25" s="112">
        <f t="shared" si="2"/>
        <v>231018.66666666669</v>
      </c>
      <c r="J25" s="113"/>
    </row>
    <row r="26" spans="1:10" ht="16.5" hidden="1" x14ac:dyDescent="0.25">
      <c r="A26" s="108">
        <v>25</v>
      </c>
      <c r="B26" s="109" t="s">
        <v>255</v>
      </c>
      <c r="C26" s="110" t="s">
        <v>303</v>
      </c>
      <c r="D26" s="110">
        <v>1</v>
      </c>
      <c r="E26" s="111"/>
      <c r="F26" s="112">
        <v>0</v>
      </c>
      <c r="G26" s="112">
        <f t="shared" si="0"/>
        <v>0</v>
      </c>
      <c r="H26" s="112">
        <f t="shared" si="1"/>
        <v>0</v>
      </c>
      <c r="I26" s="112">
        <f t="shared" si="2"/>
        <v>0</v>
      </c>
      <c r="J26" s="113"/>
    </row>
    <row r="27" spans="1:10" ht="16.5" x14ac:dyDescent="0.25">
      <c r="A27" s="108">
        <v>26</v>
      </c>
      <c r="B27" s="109" t="s">
        <v>256</v>
      </c>
      <c r="C27" s="110" t="s">
        <v>303</v>
      </c>
      <c r="D27" s="110">
        <v>1</v>
      </c>
      <c r="E27" s="111"/>
      <c r="F27" s="112">
        <v>3980666.6666666665</v>
      </c>
      <c r="G27" s="112">
        <f t="shared" si="0"/>
        <v>756326.66666666663</v>
      </c>
      <c r="H27" s="112">
        <f t="shared" si="1"/>
        <v>4736993.333333333</v>
      </c>
      <c r="I27" s="112">
        <f t="shared" si="2"/>
        <v>4736993.333333333</v>
      </c>
      <c r="J27" s="113"/>
    </row>
    <row r="28" spans="1:10" ht="16.5" x14ac:dyDescent="0.25">
      <c r="A28" s="108">
        <v>27</v>
      </c>
      <c r="B28" s="109" t="s">
        <v>257</v>
      </c>
      <c r="C28" s="110" t="s">
        <v>303</v>
      </c>
      <c r="D28" s="110">
        <v>1</v>
      </c>
      <c r="E28" s="111"/>
      <c r="F28" s="112">
        <v>304266.66666666669</v>
      </c>
      <c r="G28" s="112">
        <f t="shared" si="0"/>
        <v>57810.666666666672</v>
      </c>
      <c r="H28" s="112">
        <f t="shared" si="1"/>
        <v>362077.33333333337</v>
      </c>
      <c r="I28" s="112">
        <f t="shared" si="2"/>
        <v>362077.33333333337</v>
      </c>
      <c r="J28" s="113"/>
    </row>
    <row r="29" spans="1:10" ht="16.5" hidden="1" x14ac:dyDescent="0.25">
      <c r="A29" s="108">
        <v>28</v>
      </c>
      <c r="B29" s="109" t="s">
        <v>89</v>
      </c>
      <c r="C29" s="110" t="s">
        <v>303</v>
      </c>
      <c r="D29" s="110">
        <v>1</v>
      </c>
      <c r="E29" s="111"/>
      <c r="F29" s="112">
        <v>0</v>
      </c>
      <c r="G29" s="112">
        <f t="shared" si="0"/>
        <v>0</v>
      </c>
      <c r="H29" s="112">
        <f t="shared" si="1"/>
        <v>0</v>
      </c>
      <c r="I29" s="112">
        <f t="shared" si="2"/>
        <v>0</v>
      </c>
      <c r="J29" s="113"/>
    </row>
    <row r="30" spans="1:10" ht="16.5" x14ac:dyDescent="0.25">
      <c r="A30" s="108">
        <v>29</v>
      </c>
      <c r="B30" s="109" t="s">
        <v>258</v>
      </c>
      <c r="C30" s="110" t="s">
        <v>303</v>
      </c>
      <c r="D30" s="110">
        <v>1</v>
      </c>
      <c r="E30" s="111"/>
      <c r="F30" s="112">
        <v>127466.66666666667</v>
      </c>
      <c r="G30" s="112">
        <f t="shared" si="0"/>
        <v>24218.666666666668</v>
      </c>
      <c r="H30" s="112">
        <f t="shared" si="1"/>
        <v>151685.33333333334</v>
      </c>
      <c r="I30" s="112">
        <f t="shared" si="2"/>
        <v>151685.33333333334</v>
      </c>
      <c r="J30" s="113"/>
    </row>
    <row r="31" spans="1:10" ht="16.5" x14ac:dyDescent="0.25">
      <c r="A31" s="108">
        <v>30</v>
      </c>
      <c r="B31" s="109" t="s">
        <v>259</v>
      </c>
      <c r="C31" s="110" t="s">
        <v>303</v>
      </c>
      <c r="D31" s="110">
        <v>1</v>
      </c>
      <c r="E31" s="111"/>
      <c r="F31" s="112">
        <v>327866.66666666669</v>
      </c>
      <c r="G31" s="112">
        <f t="shared" si="0"/>
        <v>62294.666666666672</v>
      </c>
      <c r="H31" s="112">
        <f t="shared" si="1"/>
        <v>390161.33333333337</v>
      </c>
      <c r="I31" s="112">
        <f t="shared" si="2"/>
        <v>390161.33333333337</v>
      </c>
      <c r="J31" s="113"/>
    </row>
    <row r="32" spans="1:10" ht="16.5" hidden="1" x14ac:dyDescent="0.25">
      <c r="A32" s="108">
        <v>31</v>
      </c>
      <c r="B32" s="109" t="s">
        <v>260</v>
      </c>
      <c r="C32" s="110" t="s">
        <v>303</v>
      </c>
      <c r="D32" s="110">
        <v>1</v>
      </c>
      <c r="E32" s="111"/>
      <c r="F32" s="112">
        <v>0</v>
      </c>
      <c r="G32" s="112">
        <f t="shared" si="0"/>
        <v>0</v>
      </c>
      <c r="H32" s="112">
        <f t="shared" si="1"/>
        <v>0</v>
      </c>
      <c r="I32" s="112">
        <f t="shared" si="2"/>
        <v>0</v>
      </c>
      <c r="J32" s="113"/>
    </row>
    <row r="33" spans="1:10" ht="16.5" x14ac:dyDescent="0.25">
      <c r="A33" s="108">
        <v>32</v>
      </c>
      <c r="B33" s="109" t="s">
        <v>259</v>
      </c>
      <c r="C33" s="110" t="s">
        <v>303</v>
      </c>
      <c r="D33" s="110">
        <v>1</v>
      </c>
      <c r="E33" s="111"/>
      <c r="F33" s="112">
        <v>327866.66666666669</v>
      </c>
      <c r="G33" s="112">
        <f t="shared" si="0"/>
        <v>62294.666666666672</v>
      </c>
      <c r="H33" s="112">
        <f t="shared" si="1"/>
        <v>390161.33333333337</v>
      </c>
      <c r="I33" s="112">
        <f t="shared" si="2"/>
        <v>390161.33333333337</v>
      </c>
      <c r="J33" s="113"/>
    </row>
    <row r="34" spans="1:10" ht="16.5" hidden="1" x14ac:dyDescent="0.25">
      <c r="A34" s="108">
        <v>33</v>
      </c>
      <c r="B34" s="109" t="s">
        <v>261</v>
      </c>
      <c r="C34" s="110" t="s">
        <v>303</v>
      </c>
      <c r="D34" s="110">
        <v>1</v>
      </c>
      <c r="E34" s="111"/>
      <c r="F34" s="112">
        <v>0</v>
      </c>
      <c r="G34" s="112">
        <f t="shared" si="0"/>
        <v>0</v>
      </c>
      <c r="H34" s="112">
        <f t="shared" si="1"/>
        <v>0</v>
      </c>
      <c r="I34" s="112">
        <f t="shared" si="2"/>
        <v>0</v>
      </c>
      <c r="J34" s="113"/>
    </row>
    <row r="35" spans="1:10" ht="16.5" x14ac:dyDescent="0.25">
      <c r="A35" s="108">
        <v>34</v>
      </c>
      <c r="B35" s="109" t="s">
        <v>262</v>
      </c>
      <c r="C35" s="110" t="s">
        <v>303</v>
      </c>
      <c r="D35" s="110">
        <v>1</v>
      </c>
      <c r="E35" s="111"/>
      <c r="F35" s="112">
        <v>680666.66666666663</v>
      </c>
      <c r="G35" s="112">
        <f t="shared" si="0"/>
        <v>129326.66666666666</v>
      </c>
      <c r="H35" s="112">
        <f t="shared" si="1"/>
        <v>809993.33333333326</v>
      </c>
      <c r="I35" s="112">
        <f t="shared" si="2"/>
        <v>809993.33333333326</v>
      </c>
      <c r="J35" s="113"/>
    </row>
    <row r="36" spans="1:10" ht="16.5" x14ac:dyDescent="0.25">
      <c r="A36" s="108">
        <v>35</v>
      </c>
      <c r="B36" s="109" t="s">
        <v>41</v>
      </c>
      <c r="C36" s="110" t="s">
        <v>303</v>
      </c>
      <c r="D36" s="110">
        <v>1</v>
      </c>
      <c r="E36" s="111"/>
      <c r="F36" s="112">
        <v>1880666.6666666667</v>
      </c>
      <c r="G36" s="112">
        <f t="shared" si="0"/>
        <v>357326.66666666669</v>
      </c>
      <c r="H36" s="112">
        <f t="shared" si="1"/>
        <v>2237993.3333333335</v>
      </c>
      <c r="I36" s="112">
        <f t="shared" si="2"/>
        <v>2237993.3333333335</v>
      </c>
      <c r="J36" s="113"/>
    </row>
    <row r="37" spans="1:10" ht="16.5" x14ac:dyDescent="0.25">
      <c r="A37" s="108">
        <v>36</v>
      </c>
      <c r="B37" s="109" t="s">
        <v>39</v>
      </c>
      <c r="C37" s="110" t="s">
        <v>303</v>
      </c>
      <c r="D37" s="110">
        <v>1</v>
      </c>
      <c r="E37" s="111"/>
      <c r="F37" s="112">
        <v>2613266.6666666665</v>
      </c>
      <c r="G37" s="112">
        <f t="shared" si="0"/>
        <v>496520.66666666663</v>
      </c>
      <c r="H37" s="112">
        <f t="shared" si="1"/>
        <v>3109787.333333333</v>
      </c>
      <c r="I37" s="112">
        <f t="shared" si="2"/>
        <v>3109787.333333333</v>
      </c>
      <c r="J37" s="113"/>
    </row>
    <row r="38" spans="1:10" ht="30" hidden="1" x14ac:dyDescent="0.25">
      <c r="A38" s="108">
        <v>37</v>
      </c>
      <c r="B38" s="109" t="s">
        <v>263</v>
      </c>
      <c r="C38" s="110" t="s">
        <v>303</v>
      </c>
      <c r="D38" s="110">
        <v>1</v>
      </c>
      <c r="E38" s="111"/>
      <c r="F38" s="112">
        <v>0</v>
      </c>
      <c r="G38" s="112">
        <f t="shared" si="0"/>
        <v>0</v>
      </c>
      <c r="H38" s="112">
        <f t="shared" si="1"/>
        <v>0</v>
      </c>
      <c r="I38" s="112">
        <f t="shared" si="2"/>
        <v>0</v>
      </c>
      <c r="J38" s="113"/>
    </row>
    <row r="39" spans="1:10" ht="16.5" x14ac:dyDescent="0.25">
      <c r="A39" s="108">
        <v>38</v>
      </c>
      <c r="B39" s="109" t="s">
        <v>181</v>
      </c>
      <c r="C39" s="110" t="s">
        <v>303</v>
      </c>
      <c r="D39" s="110">
        <v>1</v>
      </c>
      <c r="E39" s="111"/>
      <c r="F39" s="112">
        <v>166933.33333333334</v>
      </c>
      <c r="G39" s="112">
        <f t="shared" si="0"/>
        <v>31717.333333333336</v>
      </c>
      <c r="H39" s="112">
        <f t="shared" si="1"/>
        <v>198650.66666666669</v>
      </c>
      <c r="I39" s="112">
        <f t="shared" si="2"/>
        <v>198650.66666666669</v>
      </c>
      <c r="J39" s="113"/>
    </row>
    <row r="40" spans="1:10" ht="30" x14ac:dyDescent="0.25">
      <c r="A40" s="108">
        <v>39</v>
      </c>
      <c r="B40" s="109" t="s">
        <v>264</v>
      </c>
      <c r="C40" s="110" t="s">
        <v>303</v>
      </c>
      <c r="D40" s="110">
        <v>1</v>
      </c>
      <c r="E40" s="111"/>
      <c r="F40" s="112">
        <v>1446666.6666666667</v>
      </c>
      <c r="G40" s="112">
        <f t="shared" si="0"/>
        <v>274866.66666666669</v>
      </c>
      <c r="H40" s="112">
        <f t="shared" si="1"/>
        <v>1721533.3333333335</v>
      </c>
      <c r="I40" s="112">
        <f t="shared" si="2"/>
        <v>1721533.3333333335</v>
      </c>
      <c r="J40" s="113"/>
    </row>
    <row r="41" spans="1:10" ht="16.5" x14ac:dyDescent="0.25">
      <c r="A41" s="108">
        <v>40</v>
      </c>
      <c r="B41" s="109" t="s">
        <v>265</v>
      </c>
      <c r="C41" s="110" t="s">
        <v>303</v>
      </c>
      <c r="D41" s="110">
        <v>1</v>
      </c>
      <c r="E41" s="111"/>
      <c r="F41" s="112">
        <v>867333.33333333337</v>
      </c>
      <c r="G41" s="112">
        <f t="shared" si="0"/>
        <v>164793.33333333334</v>
      </c>
      <c r="H41" s="112">
        <f t="shared" si="1"/>
        <v>1032126.6666666667</v>
      </c>
      <c r="I41" s="112">
        <f t="shared" si="2"/>
        <v>1032126.6666666667</v>
      </c>
      <c r="J41" s="113"/>
    </row>
    <row r="42" spans="1:10" ht="30" x14ac:dyDescent="0.25">
      <c r="A42" s="108">
        <v>41</v>
      </c>
      <c r="B42" s="109" t="s">
        <v>266</v>
      </c>
      <c r="C42" s="110" t="s">
        <v>303</v>
      </c>
      <c r="D42" s="110">
        <v>1</v>
      </c>
      <c r="E42" s="111"/>
      <c r="F42" s="112">
        <v>327333.33333333331</v>
      </c>
      <c r="G42" s="112">
        <f t="shared" si="0"/>
        <v>62193.333333333328</v>
      </c>
      <c r="H42" s="112">
        <f t="shared" si="1"/>
        <v>389526.66666666663</v>
      </c>
      <c r="I42" s="112">
        <f t="shared" si="2"/>
        <v>389526.66666666663</v>
      </c>
      <c r="J42" s="113"/>
    </row>
    <row r="43" spans="1:10" ht="30" hidden="1" x14ac:dyDescent="0.25">
      <c r="A43" s="108">
        <v>42</v>
      </c>
      <c r="B43" s="109" t="s">
        <v>65</v>
      </c>
      <c r="C43" s="110" t="s">
        <v>303</v>
      </c>
      <c r="D43" s="110">
        <v>1</v>
      </c>
      <c r="E43" s="111"/>
      <c r="F43" s="112">
        <v>0</v>
      </c>
      <c r="G43" s="112">
        <f t="shared" si="0"/>
        <v>0</v>
      </c>
      <c r="H43" s="112">
        <f t="shared" si="1"/>
        <v>0</v>
      </c>
      <c r="I43" s="112">
        <f t="shared" si="2"/>
        <v>0</v>
      </c>
      <c r="J43" s="113"/>
    </row>
    <row r="44" spans="1:10" ht="16.5" x14ac:dyDescent="0.25">
      <c r="A44" s="108">
        <v>43</v>
      </c>
      <c r="B44" s="109" t="s">
        <v>198</v>
      </c>
      <c r="C44" s="110" t="s">
        <v>303</v>
      </c>
      <c r="D44" s="110">
        <v>1</v>
      </c>
      <c r="E44" s="111"/>
      <c r="F44" s="112">
        <v>80266.666666666672</v>
      </c>
      <c r="G44" s="112">
        <f t="shared" si="0"/>
        <v>15250.666666666668</v>
      </c>
      <c r="H44" s="112">
        <f t="shared" si="1"/>
        <v>95517.333333333343</v>
      </c>
      <c r="I44" s="112">
        <f t="shared" si="2"/>
        <v>95517.333333333343</v>
      </c>
      <c r="J44" s="113"/>
    </row>
    <row r="45" spans="1:10" ht="16.5" x14ac:dyDescent="0.25">
      <c r="A45" s="108">
        <v>44</v>
      </c>
      <c r="B45" s="109" t="s">
        <v>267</v>
      </c>
      <c r="C45" s="110" t="s">
        <v>303</v>
      </c>
      <c r="D45" s="110">
        <v>1</v>
      </c>
      <c r="E45" s="111"/>
      <c r="F45" s="112">
        <v>123333.33333333333</v>
      </c>
      <c r="G45" s="112">
        <f t="shared" si="0"/>
        <v>23433.333333333332</v>
      </c>
      <c r="H45" s="112">
        <f t="shared" si="1"/>
        <v>146766.66666666666</v>
      </c>
      <c r="I45" s="112">
        <f t="shared" si="2"/>
        <v>146766.66666666666</v>
      </c>
      <c r="J45" s="113"/>
    </row>
    <row r="46" spans="1:10" ht="16.5" hidden="1" x14ac:dyDescent="0.25">
      <c r="A46" s="108">
        <v>45</v>
      </c>
      <c r="B46" s="109" t="s">
        <v>268</v>
      </c>
      <c r="C46" s="110" t="s">
        <v>303</v>
      </c>
      <c r="D46" s="110">
        <v>1</v>
      </c>
      <c r="E46" s="111"/>
      <c r="F46" s="112">
        <v>0</v>
      </c>
      <c r="G46" s="112">
        <f t="shared" si="0"/>
        <v>0</v>
      </c>
      <c r="H46" s="112">
        <f t="shared" si="1"/>
        <v>0</v>
      </c>
      <c r="I46" s="112">
        <f t="shared" si="2"/>
        <v>0</v>
      </c>
      <c r="J46" s="113"/>
    </row>
    <row r="47" spans="1:10" ht="16.5" x14ac:dyDescent="0.25">
      <c r="A47" s="108">
        <v>46</v>
      </c>
      <c r="B47" s="109" t="s">
        <v>269</v>
      </c>
      <c r="C47" s="110" t="s">
        <v>303</v>
      </c>
      <c r="D47" s="110">
        <v>1</v>
      </c>
      <c r="E47" s="111"/>
      <c r="F47" s="112">
        <v>80266.666666666672</v>
      </c>
      <c r="G47" s="112">
        <f t="shared" si="0"/>
        <v>15250.666666666668</v>
      </c>
      <c r="H47" s="112">
        <f t="shared" si="1"/>
        <v>95517.333333333343</v>
      </c>
      <c r="I47" s="112">
        <f t="shared" si="2"/>
        <v>95517.333333333343</v>
      </c>
      <c r="J47" s="113"/>
    </row>
    <row r="48" spans="1:10" ht="16.5" x14ac:dyDescent="0.25">
      <c r="A48" s="108">
        <v>47</v>
      </c>
      <c r="B48" s="109" t="s">
        <v>270</v>
      </c>
      <c r="C48" s="110" t="s">
        <v>303</v>
      </c>
      <c r="D48" s="110">
        <v>1</v>
      </c>
      <c r="E48" s="111"/>
      <c r="F48" s="112">
        <v>51333.333333333336</v>
      </c>
      <c r="G48" s="112">
        <f t="shared" si="0"/>
        <v>9753.3333333333339</v>
      </c>
      <c r="H48" s="112">
        <f t="shared" si="1"/>
        <v>61086.666666666672</v>
      </c>
      <c r="I48" s="112">
        <f t="shared" si="2"/>
        <v>61086.666666666672</v>
      </c>
      <c r="J48" s="113"/>
    </row>
    <row r="49" spans="1:10" ht="16.5" x14ac:dyDescent="0.25">
      <c r="A49" s="108">
        <v>48</v>
      </c>
      <c r="B49" s="109" t="s">
        <v>59</v>
      </c>
      <c r="C49" s="110" t="s">
        <v>303</v>
      </c>
      <c r="D49" s="110">
        <v>1</v>
      </c>
      <c r="E49" s="111"/>
      <c r="F49" s="112">
        <v>64666.666666666664</v>
      </c>
      <c r="G49" s="112">
        <f t="shared" si="0"/>
        <v>12286.666666666666</v>
      </c>
      <c r="H49" s="112">
        <f t="shared" si="1"/>
        <v>76953.333333333328</v>
      </c>
      <c r="I49" s="112">
        <f t="shared" si="2"/>
        <v>76953.333333333328</v>
      </c>
      <c r="J49" s="113"/>
    </row>
    <row r="50" spans="1:10" ht="16.5" x14ac:dyDescent="0.25">
      <c r="A50" s="108">
        <v>49</v>
      </c>
      <c r="B50" s="109" t="s">
        <v>271</v>
      </c>
      <c r="C50" s="110" t="s">
        <v>303</v>
      </c>
      <c r="D50" s="110">
        <v>1</v>
      </c>
      <c r="E50" s="111"/>
      <c r="F50" s="112">
        <v>44800</v>
      </c>
      <c r="G50" s="112">
        <f t="shared" si="0"/>
        <v>8512</v>
      </c>
      <c r="H50" s="112">
        <f t="shared" si="1"/>
        <v>53312</v>
      </c>
      <c r="I50" s="112">
        <f t="shared" si="2"/>
        <v>53312</v>
      </c>
      <c r="J50" s="113"/>
    </row>
    <row r="51" spans="1:10" ht="16.5" x14ac:dyDescent="0.25">
      <c r="A51" s="108">
        <v>50</v>
      </c>
      <c r="B51" s="109" t="s">
        <v>272</v>
      </c>
      <c r="C51" s="110" t="s">
        <v>303</v>
      </c>
      <c r="D51" s="110">
        <v>1</v>
      </c>
      <c r="E51" s="111"/>
      <c r="F51" s="112">
        <v>42133.333333333336</v>
      </c>
      <c r="G51" s="112">
        <f t="shared" si="0"/>
        <v>8005.3333333333339</v>
      </c>
      <c r="H51" s="112">
        <f t="shared" si="1"/>
        <v>50138.666666666672</v>
      </c>
      <c r="I51" s="112">
        <f t="shared" si="2"/>
        <v>50138.666666666672</v>
      </c>
      <c r="J51" s="113"/>
    </row>
    <row r="52" spans="1:10" ht="16.5" x14ac:dyDescent="0.25">
      <c r="A52" s="108">
        <v>51</v>
      </c>
      <c r="B52" s="109" t="s">
        <v>179</v>
      </c>
      <c r="C52" s="110" t="s">
        <v>303</v>
      </c>
      <c r="D52" s="110">
        <v>1</v>
      </c>
      <c r="E52" s="111"/>
      <c r="F52" s="112">
        <v>78000</v>
      </c>
      <c r="G52" s="112">
        <f t="shared" si="0"/>
        <v>14820</v>
      </c>
      <c r="H52" s="112">
        <f t="shared" si="1"/>
        <v>92820</v>
      </c>
      <c r="I52" s="112">
        <f t="shared" si="2"/>
        <v>92820</v>
      </c>
      <c r="J52" s="113"/>
    </row>
    <row r="53" spans="1:10" ht="16.5" hidden="1" x14ac:dyDescent="0.25">
      <c r="A53" s="108">
        <v>52</v>
      </c>
      <c r="B53" s="109" t="s">
        <v>126</v>
      </c>
      <c r="C53" s="110" t="s">
        <v>303</v>
      </c>
      <c r="D53" s="110">
        <v>1</v>
      </c>
      <c r="E53" s="111"/>
      <c r="F53" s="112">
        <v>0</v>
      </c>
      <c r="G53" s="112">
        <f t="shared" si="0"/>
        <v>0</v>
      </c>
      <c r="H53" s="112">
        <f t="shared" si="1"/>
        <v>0</v>
      </c>
      <c r="I53" s="112">
        <f t="shared" si="2"/>
        <v>0</v>
      </c>
      <c r="J53" s="113"/>
    </row>
    <row r="54" spans="1:10" ht="16.5" x14ac:dyDescent="0.25">
      <c r="A54" s="108">
        <v>53</v>
      </c>
      <c r="B54" s="109" t="s">
        <v>273</v>
      </c>
      <c r="C54" s="110" t="s">
        <v>303</v>
      </c>
      <c r="D54" s="110">
        <v>1</v>
      </c>
      <c r="E54" s="111"/>
      <c r="F54" s="112">
        <v>37066.666666666664</v>
      </c>
      <c r="G54" s="112">
        <f t="shared" si="0"/>
        <v>7042.6666666666661</v>
      </c>
      <c r="H54" s="112">
        <f t="shared" si="1"/>
        <v>44109.333333333328</v>
      </c>
      <c r="I54" s="112">
        <f t="shared" si="2"/>
        <v>44109.333333333328</v>
      </c>
      <c r="J54" s="113"/>
    </row>
    <row r="55" spans="1:10" ht="16.5" x14ac:dyDescent="0.25">
      <c r="A55" s="108">
        <v>54</v>
      </c>
      <c r="B55" s="109" t="s">
        <v>194</v>
      </c>
      <c r="C55" s="110" t="s">
        <v>303</v>
      </c>
      <c r="D55" s="110">
        <v>1</v>
      </c>
      <c r="E55" s="111"/>
      <c r="F55" s="112">
        <v>28666.666666666668</v>
      </c>
      <c r="G55" s="112">
        <f t="shared" si="0"/>
        <v>5446.666666666667</v>
      </c>
      <c r="H55" s="112">
        <f t="shared" si="1"/>
        <v>34113.333333333336</v>
      </c>
      <c r="I55" s="112">
        <f t="shared" si="2"/>
        <v>34113.333333333336</v>
      </c>
      <c r="J55" s="113"/>
    </row>
    <row r="56" spans="1:10" ht="16.5" x14ac:dyDescent="0.25">
      <c r="A56" s="108">
        <v>55</v>
      </c>
      <c r="B56" s="109" t="s">
        <v>274</v>
      </c>
      <c r="C56" s="110" t="s">
        <v>303</v>
      </c>
      <c r="D56" s="110">
        <v>1</v>
      </c>
      <c r="E56" s="111"/>
      <c r="F56" s="112">
        <v>646933.33333333337</v>
      </c>
      <c r="G56" s="112">
        <f t="shared" si="0"/>
        <v>122917.33333333334</v>
      </c>
      <c r="H56" s="112">
        <f t="shared" si="1"/>
        <v>769850.66666666674</v>
      </c>
      <c r="I56" s="112">
        <f t="shared" si="2"/>
        <v>769850.66666666674</v>
      </c>
      <c r="J56" s="113"/>
    </row>
    <row r="57" spans="1:10" ht="16.5" hidden="1" x14ac:dyDescent="0.25">
      <c r="A57" s="108">
        <v>56</v>
      </c>
      <c r="B57" s="109" t="s">
        <v>190</v>
      </c>
      <c r="C57" s="110" t="s">
        <v>303</v>
      </c>
      <c r="D57" s="110">
        <v>1</v>
      </c>
      <c r="E57" s="111"/>
      <c r="F57" s="112">
        <v>0</v>
      </c>
      <c r="G57" s="112">
        <f t="shared" si="0"/>
        <v>0</v>
      </c>
      <c r="H57" s="112">
        <f t="shared" si="1"/>
        <v>0</v>
      </c>
      <c r="I57" s="112">
        <f t="shared" si="2"/>
        <v>0</v>
      </c>
      <c r="J57" s="113"/>
    </row>
    <row r="58" spans="1:10" ht="16.5" hidden="1" x14ac:dyDescent="0.25">
      <c r="A58" s="108">
        <v>57</v>
      </c>
      <c r="B58" s="109" t="s">
        <v>183</v>
      </c>
      <c r="C58" s="110" t="s">
        <v>303</v>
      </c>
      <c r="D58" s="110">
        <v>1</v>
      </c>
      <c r="E58" s="111"/>
      <c r="F58" s="112">
        <v>0</v>
      </c>
      <c r="G58" s="112">
        <f t="shared" si="0"/>
        <v>0</v>
      </c>
      <c r="H58" s="112">
        <f t="shared" si="1"/>
        <v>0</v>
      </c>
      <c r="I58" s="112">
        <f t="shared" si="2"/>
        <v>0</v>
      </c>
      <c r="J58" s="113"/>
    </row>
    <row r="59" spans="1:10" ht="16.5" x14ac:dyDescent="0.25">
      <c r="A59" s="108">
        <v>58</v>
      </c>
      <c r="B59" s="109" t="s">
        <v>220</v>
      </c>
      <c r="C59" s="110" t="s">
        <v>303</v>
      </c>
      <c r="D59" s="110">
        <v>1</v>
      </c>
      <c r="E59" s="111"/>
      <c r="F59" s="112">
        <v>47333.333333333336</v>
      </c>
      <c r="G59" s="112">
        <f t="shared" si="0"/>
        <v>8993.3333333333339</v>
      </c>
      <c r="H59" s="112">
        <f t="shared" si="1"/>
        <v>56326.666666666672</v>
      </c>
      <c r="I59" s="112">
        <f t="shared" si="2"/>
        <v>56326.666666666672</v>
      </c>
      <c r="J59" s="113"/>
    </row>
    <row r="60" spans="1:10" ht="16.5" hidden="1" x14ac:dyDescent="0.25">
      <c r="A60" s="108">
        <v>59</v>
      </c>
      <c r="B60" s="109" t="s">
        <v>187</v>
      </c>
      <c r="C60" s="110" t="s">
        <v>303</v>
      </c>
      <c r="D60" s="110">
        <v>1</v>
      </c>
      <c r="E60" s="111"/>
      <c r="F60" s="112">
        <v>0</v>
      </c>
      <c r="G60" s="112">
        <f t="shared" si="0"/>
        <v>0</v>
      </c>
      <c r="H60" s="112">
        <f t="shared" si="1"/>
        <v>0</v>
      </c>
      <c r="I60" s="112">
        <f t="shared" si="2"/>
        <v>0</v>
      </c>
      <c r="J60" s="113"/>
    </row>
    <row r="61" spans="1:10" ht="16.5" hidden="1" x14ac:dyDescent="0.25">
      <c r="A61" s="108">
        <v>60</v>
      </c>
      <c r="B61" s="109" t="s">
        <v>63</v>
      </c>
      <c r="C61" s="110" t="s">
        <v>303</v>
      </c>
      <c r="D61" s="110">
        <v>1</v>
      </c>
      <c r="E61" s="111"/>
      <c r="F61" s="112">
        <v>0</v>
      </c>
      <c r="G61" s="112">
        <f t="shared" si="0"/>
        <v>0</v>
      </c>
      <c r="H61" s="112">
        <f t="shared" si="1"/>
        <v>0</v>
      </c>
      <c r="I61" s="112">
        <f t="shared" si="2"/>
        <v>0</v>
      </c>
      <c r="J61" s="113"/>
    </row>
    <row r="62" spans="1:10" ht="16.5" x14ac:dyDescent="0.25">
      <c r="A62" s="108">
        <v>61</v>
      </c>
      <c r="B62" s="109" t="s">
        <v>118</v>
      </c>
      <c r="C62" s="110" t="s">
        <v>303</v>
      </c>
      <c r="D62" s="110">
        <v>1</v>
      </c>
      <c r="E62" s="111"/>
      <c r="F62" s="112">
        <v>114000</v>
      </c>
      <c r="G62" s="112">
        <f t="shared" si="0"/>
        <v>21660</v>
      </c>
      <c r="H62" s="112">
        <f t="shared" si="1"/>
        <v>135660</v>
      </c>
      <c r="I62" s="112">
        <f t="shared" si="2"/>
        <v>135660</v>
      </c>
      <c r="J62" s="113"/>
    </row>
    <row r="63" spans="1:10" ht="16.5" x14ac:dyDescent="0.25">
      <c r="A63" s="108">
        <v>62</v>
      </c>
      <c r="B63" s="109" t="s">
        <v>192</v>
      </c>
      <c r="C63" s="110" t="s">
        <v>303</v>
      </c>
      <c r="D63" s="110">
        <v>1</v>
      </c>
      <c r="E63" s="111"/>
      <c r="F63" s="112">
        <v>19333.333333333332</v>
      </c>
      <c r="G63" s="112">
        <f t="shared" si="0"/>
        <v>3673.333333333333</v>
      </c>
      <c r="H63" s="112">
        <f t="shared" si="1"/>
        <v>23006.666666666664</v>
      </c>
      <c r="I63" s="112">
        <f t="shared" si="2"/>
        <v>23006.666666666664</v>
      </c>
      <c r="J63" s="113"/>
    </row>
    <row r="64" spans="1:10" ht="16.5" x14ac:dyDescent="0.25">
      <c r="A64" s="108">
        <v>63</v>
      </c>
      <c r="B64" s="109" t="s">
        <v>122</v>
      </c>
      <c r="C64" s="110" t="s">
        <v>303</v>
      </c>
      <c r="D64" s="110">
        <v>1</v>
      </c>
      <c r="E64" s="111"/>
      <c r="F64" s="112">
        <v>172800</v>
      </c>
      <c r="G64" s="112">
        <f t="shared" si="0"/>
        <v>32832</v>
      </c>
      <c r="H64" s="112">
        <f t="shared" si="1"/>
        <v>205632</v>
      </c>
      <c r="I64" s="112">
        <f t="shared" si="2"/>
        <v>205632</v>
      </c>
      <c r="J64" s="113"/>
    </row>
    <row r="65" spans="1:10" ht="30" x14ac:dyDescent="0.25">
      <c r="A65" s="108">
        <v>64</v>
      </c>
      <c r="B65" s="109" t="s">
        <v>276</v>
      </c>
      <c r="C65" s="110" t="s">
        <v>303</v>
      </c>
      <c r="D65" s="110">
        <v>1</v>
      </c>
      <c r="E65" s="111"/>
      <c r="F65" s="112">
        <v>124800</v>
      </c>
      <c r="G65" s="112">
        <f t="shared" si="0"/>
        <v>23712</v>
      </c>
      <c r="H65" s="112">
        <f t="shared" si="1"/>
        <v>148512</v>
      </c>
      <c r="I65" s="112">
        <f t="shared" si="2"/>
        <v>148512</v>
      </c>
      <c r="J65" s="113"/>
    </row>
    <row r="66" spans="1:10" ht="16.5" x14ac:dyDescent="0.25">
      <c r="A66" s="108">
        <v>65</v>
      </c>
      <c r="B66" s="109" t="s">
        <v>277</v>
      </c>
      <c r="C66" s="110" t="s">
        <v>303</v>
      </c>
      <c r="D66" s="110">
        <v>1</v>
      </c>
      <c r="E66" s="111"/>
      <c r="F66" s="112">
        <v>38400</v>
      </c>
      <c r="G66" s="112">
        <f t="shared" si="0"/>
        <v>7296</v>
      </c>
      <c r="H66" s="112">
        <f t="shared" si="1"/>
        <v>45696</v>
      </c>
      <c r="I66" s="112">
        <f t="shared" si="2"/>
        <v>45696</v>
      </c>
      <c r="J66" s="113"/>
    </row>
    <row r="67" spans="1:10" ht="16.5" hidden="1" x14ac:dyDescent="0.25">
      <c r="A67" s="108">
        <v>66</v>
      </c>
      <c r="B67" s="109" t="s">
        <v>114</v>
      </c>
      <c r="C67" s="110" t="s">
        <v>303</v>
      </c>
      <c r="D67" s="110">
        <v>1</v>
      </c>
      <c r="E67" s="111"/>
      <c r="F67" s="112">
        <v>0</v>
      </c>
      <c r="G67" s="112">
        <f t="shared" ref="G67:G107" si="3">F67*19%</f>
        <v>0</v>
      </c>
      <c r="H67" s="112">
        <f t="shared" ref="H67:H107" si="4">F67+G67</f>
        <v>0</v>
      </c>
      <c r="I67" s="112">
        <f t="shared" ref="I67:I107" si="5">H67*D67</f>
        <v>0</v>
      </c>
      <c r="J67" s="113"/>
    </row>
    <row r="68" spans="1:10" ht="16.5" x14ac:dyDescent="0.25">
      <c r="A68" s="108">
        <v>67</v>
      </c>
      <c r="B68" s="109" t="s">
        <v>124</v>
      </c>
      <c r="C68" s="110" t="s">
        <v>303</v>
      </c>
      <c r="D68" s="110">
        <v>1</v>
      </c>
      <c r="E68" s="111"/>
      <c r="F68" s="112">
        <v>287333.33333333331</v>
      </c>
      <c r="G68" s="112">
        <f t="shared" si="3"/>
        <v>54593.333333333328</v>
      </c>
      <c r="H68" s="112">
        <f t="shared" si="4"/>
        <v>341926.66666666663</v>
      </c>
      <c r="I68" s="112">
        <f t="shared" si="5"/>
        <v>341926.66666666663</v>
      </c>
      <c r="J68" s="113"/>
    </row>
    <row r="69" spans="1:10" ht="16.5" x14ac:dyDescent="0.25">
      <c r="A69" s="108">
        <v>68</v>
      </c>
      <c r="B69" s="109" t="s">
        <v>278</v>
      </c>
      <c r="C69" s="110" t="s">
        <v>303</v>
      </c>
      <c r="D69" s="110">
        <v>1</v>
      </c>
      <c r="E69" s="111"/>
      <c r="F69" s="112">
        <v>56666.666666666664</v>
      </c>
      <c r="G69" s="112">
        <f t="shared" si="3"/>
        <v>10766.666666666666</v>
      </c>
      <c r="H69" s="112">
        <f t="shared" si="4"/>
        <v>67433.333333333328</v>
      </c>
      <c r="I69" s="112">
        <f t="shared" si="5"/>
        <v>67433.333333333328</v>
      </c>
      <c r="J69" s="113"/>
    </row>
    <row r="70" spans="1:10" ht="16.5" x14ac:dyDescent="0.25">
      <c r="A70" s="108">
        <v>69</v>
      </c>
      <c r="B70" s="109" t="s">
        <v>130</v>
      </c>
      <c r="C70" s="110" t="s">
        <v>303</v>
      </c>
      <c r="D70" s="110">
        <v>1</v>
      </c>
      <c r="E70" s="111"/>
      <c r="F70" s="112">
        <v>647333.33333333337</v>
      </c>
      <c r="G70" s="112">
        <f t="shared" si="3"/>
        <v>122993.33333333334</v>
      </c>
      <c r="H70" s="112">
        <f t="shared" si="4"/>
        <v>770326.66666666674</v>
      </c>
      <c r="I70" s="112">
        <f t="shared" si="5"/>
        <v>770326.66666666674</v>
      </c>
      <c r="J70" s="113"/>
    </row>
    <row r="71" spans="1:10" ht="16.5" hidden="1" x14ac:dyDescent="0.25">
      <c r="A71" s="108">
        <v>70</v>
      </c>
      <c r="B71" s="109" t="s">
        <v>128</v>
      </c>
      <c r="C71" s="110" t="s">
        <v>303</v>
      </c>
      <c r="D71" s="110">
        <v>1</v>
      </c>
      <c r="E71" s="111"/>
      <c r="F71" s="112">
        <v>0</v>
      </c>
      <c r="G71" s="112">
        <f t="shared" si="3"/>
        <v>0</v>
      </c>
      <c r="H71" s="112">
        <f t="shared" si="4"/>
        <v>0</v>
      </c>
      <c r="I71" s="112">
        <f t="shared" si="5"/>
        <v>0</v>
      </c>
      <c r="J71" s="113"/>
    </row>
    <row r="72" spans="1:10" ht="16.5" hidden="1" x14ac:dyDescent="0.25">
      <c r="A72" s="108">
        <v>71</v>
      </c>
      <c r="B72" s="109" t="s">
        <v>57</v>
      </c>
      <c r="C72" s="110" t="s">
        <v>303</v>
      </c>
      <c r="D72" s="110">
        <v>1</v>
      </c>
      <c r="E72" s="111"/>
      <c r="F72" s="112">
        <v>0</v>
      </c>
      <c r="G72" s="112">
        <f t="shared" si="3"/>
        <v>0</v>
      </c>
      <c r="H72" s="112">
        <f t="shared" si="4"/>
        <v>0</v>
      </c>
      <c r="I72" s="112">
        <f t="shared" si="5"/>
        <v>0</v>
      </c>
      <c r="J72" s="113"/>
    </row>
    <row r="73" spans="1:10" ht="16.5" x14ac:dyDescent="0.25">
      <c r="A73" s="108">
        <v>72</v>
      </c>
      <c r="B73" s="109" t="s">
        <v>279</v>
      </c>
      <c r="C73" s="110" t="s">
        <v>303</v>
      </c>
      <c r="D73" s="110">
        <v>1</v>
      </c>
      <c r="E73" s="111"/>
      <c r="F73" s="112">
        <v>278000</v>
      </c>
      <c r="G73" s="112">
        <f t="shared" si="3"/>
        <v>52820</v>
      </c>
      <c r="H73" s="112">
        <f t="shared" si="4"/>
        <v>330820</v>
      </c>
      <c r="I73" s="112">
        <f t="shared" si="5"/>
        <v>330820</v>
      </c>
      <c r="J73" s="113"/>
    </row>
    <row r="74" spans="1:10" ht="16.5" hidden="1" x14ac:dyDescent="0.25">
      <c r="A74" s="108">
        <v>73</v>
      </c>
      <c r="B74" s="109" t="s">
        <v>95</v>
      </c>
      <c r="C74" s="110" t="s">
        <v>303</v>
      </c>
      <c r="D74" s="110">
        <v>1</v>
      </c>
      <c r="E74" s="111"/>
      <c r="F74" s="112">
        <v>0</v>
      </c>
      <c r="G74" s="112">
        <f t="shared" si="3"/>
        <v>0</v>
      </c>
      <c r="H74" s="112">
        <f t="shared" si="4"/>
        <v>0</v>
      </c>
      <c r="I74" s="112">
        <f t="shared" si="5"/>
        <v>0</v>
      </c>
      <c r="J74" s="113"/>
    </row>
    <row r="75" spans="1:10" ht="16.5" hidden="1" x14ac:dyDescent="0.25">
      <c r="A75" s="108">
        <v>74</v>
      </c>
      <c r="B75" s="109" t="s">
        <v>25</v>
      </c>
      <c r="C75" s="110" t="s">
        <v>303</v>
      </c>
      <c r="D75" s="110">
        <v>1</v>
      </c>
      <c r="E75" s="111"/>
      <c r="F75" s="112">
        <v>0</v>
      </c>
      <c r="G75" s="112">
        <f t="shared" si="3"/>
        <v>0</v>
      </c>
      <c r="H75" s="112">
        <f t="shared" si="4"/>
        <v>0</v>
      </c>
      <c r="I75" s="112">
        <f t="shared" si="5"/>
        <v>0</v>
      </c>
      <c r="J75" s="113"/>
    </row>
    <row r="76" spans="1:10" ht="16.5" hidden="1" x14ac:dyDescent="0.25">
      <c r="A76" s="108">
        <v>75</v>
      </c>
      <c r="B76" s="109" t="s">
        <v>280</v>
      </c>
      <c r="C76" s="110" t="s">
        <v>303</v>
      </c>
      <c r="D76" s="110">
        <v>1</v>
      </c>
      <c r="E76" s="111"/>
      <c r="F76" s="112">
        <v>0</v>
      </c>
      <c r="G76" s="112">
        <f t="shared" si="3"/>
        <v>0</v>
      </c>
      <c r="H76" s="112">
        <f t="shared" si="4"/>
        <v>0</v>
      </c>
      <c r="I76" s="112">
        <f t="shared" si="5"/>
        <v>0</v>
      </c>
      <c r="J76" s="113"/>
    </row>
    <row r="77" spans="1:10" ht="16.5" x14ac:dyDescent="0.25">
      <c r="A77" s="108">
        <v>76</v>
      </c>
      <c r="B77" s="109" t="s">
        <v>281</v>
      </c>
      <c r="C77" s="110" t="s">
        <v>303</v>
      </c>
      <c r="D77" s="110">
        <v>1</v>
      </c>
      <c r="E77" s="111"/>
      <c r="F77" s="112">
        <v>163333.33333333334</v>
      </c>
      <c r="G77" s="112">
        <f t="shared" si="3"/>
        <v>31033.333333333336</v>
      </c>
      <c r="H77" s="112">
        <f t="shared" si="4"/>
        <v>194366.66666666669</v>
      </c>
      <c r="I77" s="112">
        <f t="shared" si="5"/>
        <v>194366.66666666669</v>
      </c>
      <c r="J77" s="113"/>
    </row>
    <row r="78" spans="1:10" ht="16.5" hidden="1" x14ac:dyDescent="0.25">
      <c r="A78" s="108">
        <v>77</v>
      </c>
      <c r="B78" s="109" t="s">
        <v>282</v>
      </c>
      <c r="C78" s="110" t="s">
        <v>303</v>
      </c>
      <c r="D78" s="110">
        <v>1</v>
      </c>
      <c r="E78" s="111"/>
      <c r="F78" s="112">
        <v>0</v>
      </c>
      <c r="G78" s="112">
        <f t="shared" si="3"/>
        <v>0</v>
      </c>
      <c r="H78" s="112">
        <f t="shared" si="4"/>
        <v>0</v>
      </c>
      <c r="I78" s="112">
        <f t="shared" si="5"/>
        <v>0</v>
      </c>
      <c r="J78" s="113"/>
    </row>
    <row r="79" spans="1:10" ht="16.5" hidden="1" x14ac:dyDescent="0.25">
      <c r="A79" s="108">
        <v>78</v>
      </c>
      <c r="B79" s="109" t="s">
        <v>103</v>
      </c>
      <c r="C79" s="110" t="s">
        <v>303</v>
      </c>
      <c r="D79" s="110">
        <v>1</v>
      </c>
      <c r="E79" s="111"/>
      <c r="F79" s="112">
        <v>0</v>
      </c>
      <c r="G79" s="112">
        <f t="shared" si="3"/>
        <v>0</v>
      </c>
      <c r="H79" s="112">
        <f t="shared" si="4"/>
        <v>0</v>
      </c>
      <c r="I79" s="112">
        <f t="shared" si="5"/>
        <v>0</v>
      </c>
      <c r="J79" s="113"/>
    </row>
    <row r="80" spans="1:10" ht="16.5" hidden="1" x14ac:dyDescent="0.25">
      <c r="A80" s="108">
        <v>79</v>
      </c>
      <c r="B80" s="109" t="s">
        <v>203</v>
      </c>
      <c r="C80" s="110" t="s">
        <v>303</v>
      </c>
      <c r="D80" s="110">
        <v>1</v>
      </c>
      <c r="E80" s="111"/>
      <c r="F80" s="112">
        <v>0</v>
      </c>
      <c r="G80" s="112">
        <f t="shared" si="3"/>
        <v>0</v>
      </c>
      <c r="H80" s="112">
        <f t="shared" si="4"/>
        <v>0</v>
      </c>
      <c r="I80" s="112">
        <f t="shared" si="5"/>
        <v>0</v>
      </c>
      <c r="J80" s="113"/>
    </row>
    <row r="81" spans="1:10" ht="16.5" x14ac:dyDescent="0.25">
      <c r="A81" s="108">
        <v>80</v>
      </c>
      <c r="B81" s="109" t="s">
        <v>212</v>
      </c>
      <c r="C81" s="110" t="s">
        <v>303</v>
      </c>
      <c r="D81" s="110">
        <v>1</v>
      </c>
      <c r="E81" s="111"/>
      <c r="F81" s="112">
        <v>80266.666666666672</v>
      </c>
      <c r="G81" s="112">
        <f t="shared" si="3"/>
        <v>15250.666666666668</v>
      </c>
      <c r="H81" s="112">
        <f t="shared" si="4"/>
        <v>95517.333333333343</v>
      </c>
      <c r="I81" s="112">
        <f t="shared" si="5"/>
        <v>95517.333333333343</v>
      </c>
      <c r="J81" s="113"/>
    </row>
    <row r="82" spans="1:10" ht="16.5" x14ac:dyDescent="0.25">
      <c r="A82" s="108">
        <v>81</v>
      </c>
      <c r="B82" s="109" t="s">
        <v>214</v>
      </c>
      <c r="C82" s="110" t="s">
        <v>303</v>
      </c>
      <c r="D82" s="110">
        <v>1</v>
      </c>
      <c r="E82" s="111"/>
      <c r="F82" s="112">
        <v>20666.666666666668</v>
      </c>
      <c r="G82" s="112">
        <f t="shared" si="3"/>
        <v>3926.666666666667</v>
      </c>
      <c r="H82" s="112">
        <f t="shared" si="4"/>
        <v>24593.333333333336</v>
      </c>
      <c r="I82" s="112">
        <f t="shared" si="5"/>
        <v>24593.333333333336</v>
      </c>
      <c r="J82" s="113"/>
    </row>
    <row r="83" spans="1:10" ht="16.5" x14ac:dyDescent="0.25">
      <c r="A83" s="108">
        <v>82</v>
      </c>
      <c r="B83" s="109" t="s">
        <v>159</v>
      </c>
      <c r="C83" s="110" t="s">
        <v>303</v>
      </c>
      <c r="D83" s="110">
        <v>1</v>
      </c>
      <c r="E83" s="111"/>
      <c r="F83" s="112">
        <v>260666.66666666666</v>
      </c>
      <c r="G83" s="112">
        <f t="shared" si="3"/>
        <v>49526.666666666664</v>
      </c>
      <c r="H83" s="112">
        <f t="shared" si="4"/>
        <v>310193.33333333331</v>
      </c>
      <c r="I83" s="112">
        <f t="shared" si="5"/>
        <v>310193.33333333331</v>
      </c>
      <c r="J83" s="113"/>
    </row>
    <row r="84" spans="1:10" ht="30" x14ac:dyDescent="0.25">
      <c r="A84" s="108">
        <v>83</v>
      </c>
      <c r="B84" s="109" t="s">
        <v>37</v>
      </c>
      <c r="C84" s="110" t="s">
        <v>303</v>
      </c>
      <c r="D84" s="110">
        <v>1</v>
      </c>
      <c r="E84" s="111"/>
      <c r="F84" s="112">
        <v>1000666.6666666666</v>
      </c>
      <c r="G84" s="112">
        <f t="shared" si="3"/>
        <v>190126.66666666666</v>
      </c>
      <c r="H84" s="112">
        <f t="shared" si="4"/>
        <v>1190793.3333333333</v>
      </c>
      <c r="I84" s="112">
        <f t="shared" si="5"/>
        <v>1190793.3333333333</v>
      </c>
      <c r="J84" s="113"/>
    </row>
    <row r="85" spans="1:10" ht="16.5" hidden="1" x14ac:dyDescent="0.25">
      <c r="A85" s="108">
        <v>84</v>
      </c>
      <c r="B85" s="109" t="s">
        <v>283</v>
      </c>
      <c r="C85" s="110" t="s">
        <v>303</v>
      </c>
      <c r="D85" s="110">
        <v>1</v>
      </c>
      <c r="E85" s="111"/>
      <c r="F85" s="112">
        <v>0</v>
      </c>
      <c r="G85" s="112">
        <f t="shared" si="3"/>
        <v>0</v>
      </c>
      <c r="H85" s="112">
        <f t="shared" si="4"/>
        <v>0</v>
      </c>
      <c r="I85" s="112">
        <f t="shared" si="5"/>
        <v>0</v>
      </c>
      <c r="J85" s="113"/>
    </row>
    <row r="86" spans="1:10" ht="16.5" hidden="1" x14ac:dyDescent="0.25">
      <c r="A86" s="108">
        <v>85</v>
      </c>
      <c r="B86" s="109" t="s">
        <v>164</v>
      </c>
      <c r="C86" s="110" t="s">
        <v>303</v>
      </c>
      <c r="D86" s="110">
        <v>1</v>
      </c>
      <c r="E86" s="111"/>
      <c r="F86" s="112">
        <v>0</v>
      </c>
      <c r="G86" s="112">
        <f t="shared" si="3"/>
        <v>0</v>
      </c>
      <c r="H86" s="112">
        <f t="shared" si="4"/>
        <v>0</v>
      </c>
      <c r="I86" s="112">
        <f t="shared" si="5"/>
        <v>0</v>
      </c>
      <c r="J86" s="113"/>
    </row>
    <row r="87" spans="1:10" ht="16.5" x14ac:dyDescent="0.25">
      <c r="A87" s="108">
        <v>86</v>
      </c>
      <c r="B87" s="109" t="s">
        <v>174</v>
      </c>
      <c r="C87" s="110" t="s">
        <v>303</v>
      </c>
      <c r="D87" s="110">
        <v>1</v>
      </c>
      <c r="E87" s="111"/>
      <c r="F87" s="112">
        <v>1034400</v>
      </c>
      <c r="G87" s="112">
        <f t="shared" si="3"/>
        <v>196536</v>
      </c>
      <c r="H87" s="112">
        <f t="shared" si="4"/>
        <v>1230936</v>
      </c>
      <c r="I87" s="112">
        <f t="shared" si="5"/>
        <v>1230936</v>
      </c>
      <c r="J87" s="113"/>
    </row>
    <row r="88" spans="1:10" ht="30" hidden="1" x14ac:dyDescent="0.25">
      <c r="A88" s="108">
        <v>87</v>
      </c>
      <c r="B88" s="109" t="s">
        <v>284</v>
      </c>
      <c r="C88" s="110" t="s">
        <v>303</v>
      </c>
      <c r="D88" s="110">
        <v>1</v>
      </c>
      <c r="E88" s="111"/>
      <c r="F88" s="112">
        <v>0</v>
      </c>
      <c r="G88" s="112">
        <f t="shared" si="3"/>
        <v>0</v>
      </c>
      <c r="H88" s="112">
        <f t="shared" si="4"/>
        <v>0</v>
      </c>
      <c r="I88" s="112">
        <f t="shared" si="5"/>
        <v>0</v>
      </c>
      <c r="J88" s="113"/>
    </row>
    <row r="89" spans="1:10" ht="16.5" hidden="1" x14ac:dyDescent="0.25">
      <c r="A89" s="108">
        <v>88</v>
      </c>
      <c r="B89" s="109" t="s">
        <v>161</v>
      </c>
      <c r="C89" s="110" t="s">
        <v>303</v>
      </c>
      <c r="D89" s="110">
        <v>1</v>
      </c>
      <c r="E89" s="111"/>
      <c r="F89" s="112">
        <v>0</v>
      </c>
      <c r="G89" s="112">
        <f t="shared" si="3"/>
        <v>0</v>
      </c>
      <c r="H89" s="112">
        <f t="shared" si="4"/>
        <v>0</v>
      </c>
      <c r="I89" s="112">
        <f t="shared" si="5"/>
        <v>0</v>
      </c>
      <c r="J89" s="113"/>
    </row>
    <row r="90" spans="1:10" ht="16.5" x14ac:dyDescent="0.25">
      <c r="A90" s="108">
        <v>89</v>
      </c>
      <c r="B90" s="109" t="s">
        <v>112</v>
      </c>
      <c r="C90" s="110" t="s">
        <v>303</v>
      </c>
      <c r="D90" s="110">
        <v>1</v>
      </c>
      <c r="E90" s="111"/>
      <c r="F90" s="112">
        <v>118000</v>
      </c>
      <c r="G90" s="112">
        <f t="shared" si="3"/>
        <v>22420</v>
      </c>
      <c r="H90" s="112">
        <f t="shared" si="4"/>
        <v>140420</v>
      </c>
      <c r="I90" s="112">
        <f t="shared" si="5"/>
        <v>140420</v>
      </c>
      <c r="J90" s="113"/>
    </row>
    <row r="91" spans="1:10" ht="16.5" x14ac:dyDescent="0.25">
      <c r="A91" s="108">
        <v>90</v>
      </c>
      <c r="B91" s="109" t="s">
        <v>110</v>
      </c>
      <c r="C91" s="110" t="s">
        <v>303</v>
      </c>
      <c r="D91" s="110">
        <v>1</v>
      </c>
      <c r="E91" s="111"/>
      <c r="F91" s="112">
        <v>101466.66666666667</v>
      </c>
      <c r="G91" s="112">
        <f t="shared" si="3"/>
        <v>19278.666666666668</v>
      </c>
      <c r="H91" s="112">
        <f t="shared" si="4"/>
        <v>120745.33333333334</v>
      </c>
      <c r="I91" s="112">
        <f t="shared" si="5"/>
        <v>120745.33333333334</v>
      </c>
      <c r="J91" s="113"/>
    </row>
    <row r="92" spans="1:10" ht="16.5" hidden="1" x14ac:dyDescent="0.25">
      <c r="A92" s="108">
        <v>91</v>
      </c>
      <c r="B92" s="109" t="s">
        <v>285</v>
      </c>
      <c r="C92" s="110" t="s">
        <v>303</v>
      </c>
      <c r="D92" s="110">
        <v>1</v>
      </c>
      <c r="E92" s="111"/>
      <c r="F92" s="112">
        <v>0</v>
      </c>
      <c r="G92" s="112">
        <f t="shared" si="3"/>
        <v>0</v>
      </c>
      <c r="H92" s="112">
        <f t="shared" si="4"/>
        <v>0</v>
      </c>
      <c r="I92" s="112">
        <f t="shared" si="5"/>
        <v>0</v>
      </c>
      <c r="J92" s="113"/>
    </row>
    <row r="93" spans="1:10" ht="30" hidden="1" x14ac:dyDescent="0.25">
      <c r="A93" s="108">
        <v>92</v>
      </c>
      <c r="B93" s="109" t="s">
        <v>286</v>
      </c>
      <c r="C93" s="110" t="s">
        <v>303</v>
      </c>
      <c r="D93" s="110">
        <v>1</v>
      </c>
      <c r="E93" s="111"/>
      <c r="F93" s="112">
        <v>0</v>
      </c>
      <c r="G93" s="112">
        <f t="shared" si="3"/>
        <v>0</v>
      </c>
      <c r="H93" s="112">
        <f t="shared" si="4"/>
        <v>0</v>
      </c>
      <c r="I93" s="112">
        <f t="shared" si="5"/>
        <v>0</v>
      </c>
      <c r="J93" s="113"/>
    </row>
    <row r="94" spans="1:10" ht="16.5" hidden="1" x14ac:dyDescent="0.25">
      <c r="A94" s="108">
        <v>93</v>
      </c>
      <c r="B94" s="109" t="s">
        <v>287</v>
      </c>
      <c r="C94" s="110" t="s">
        <v>303</v>
      </c>
      <c r="D94" s="110">
        <v>1</v>
      </c>
      <c r="E94" s="111"/>
      <c r="F94" s="112">
        <v>0</v>
      </c>
      <c r="G94" s="112">
        <f t="shared" si="3"/>
        <v>0</v>
      </c>
      <c r="H94" s="112">
        <f t="shared" si="4"/>
        <v>0</v>
      </c>
      <c r="I94" s="112">
        <f t="shared" si="5"/>
        <v>0</v>
      </c>
      <c r="J94" s="113"/>
    </row>
    <row r="95" spans="1:10" ht="30" hidden="1" x14ac:dyDescent="0.25">
      <c r="A95" s="108">
        <v>94</v>
      </c>
      <c r="B95" s="109" t="s">
        <v>288</v>
      </c>
      <c r="C95" s="110" t="s">
        <v>303</v>
      </c>
      <c r="D95" s="110">
        <v>1</v>
      </c>
      <c r="E95" s="111"/>
      <c r="F95" s="112">
        <v>0</v>
      </c>
      <c r="G95" s="112">
        <f t="shared" si="3"/>
        <v>0</v>
      </c>
      <c r="H95" s="112">
        <f t="shared" si="4"/>
        <v>0</v>
      </c>
      <c r="I95" s="112">
        <f t="shared" si="5"/>
        <v>0</v>
      </c>
      <c r="J95" s="113"/>
    </row>
    <row r="96" spans="1:10" ht="30" x14ac:dyDescent="0.25">
      <c r="A96" s="108">
        <v>95</v>
      </c>
      <c r="B96" s="109" t="s">
        <v>289</v>
      </c>
      <c r="C96" s="110" t="s">
        <v>303</v>
      </c>
      <c r="D96" s="110">
        <v>1</v>
      </c>
      <c r="E96" s="111"/>
      <c r="F96" s="112">
        <v>75666.666666666672</v>
      </c>
      <c r="G96" s="112">
        <f t="shared" si="3"/>
        <v>14376.666666666668</v>
      </c>
      <c r="H96" s="112">
        <f t="shared" si="4"/>
        <v>90043.333333333343</v>
      </c>
      <c r="I96" s="112">
        <f t="shared" si="5"/>
        <v>90043.333333333343</v>
      </c>
      <c r="J96" s="113"/>
    </row>
    <row r="97" spans="1:10" ht="16.5" hidden="1" x14ac:dyDescent="0.25">
      <c r="A97" s="108">
        <v>96</v>
      </c>
      <c r="B97" s="109" t="s">
        <v>290</v>
      </c>
      <c r="C97" s="110" t="s">
        <v>303</v>
      </c>
      <c r="D97" s="110">
        <v>1</v>
      </c>
      <c r="E97" s="111"/>
      <c r="F97" s="112">
        <v>0</v>
      </c>
      <c r="G97" s="112">
        <f t="shared" si="3"/>
        <v>0</v>
      </c>
      <c r="H97" s="112">
        <f t="shared" si="4"/>
        <v>0</v>
      </c>
      <c r="I97" s="112">
        <f t="shared" si="5"/>
        <v>0</v>
      </c>
      <c r="J97" s="113"/>
    </row>
    <row r="98" spans="1:10" ht="16.5" hidden="1" x14ac:dyDescent="0.25">
      <c r="A98" s="108">
        <v>97</v>
      </c>
      <c r="B98" s="109" t="s">
        <v>55</v>
      </c>
      <c r="C98" s="110" t="s">
        <v>303</v>
      </c>
      <c r="D98" s="110">
        <v>1</v>
      </c>
      <c r="E98" s="111"/>
      <c r="F98" s="112">
        <v>0</v>
      </c>
      <c r="G98" s="112">
        <f t="shared" si="3"/>
        <v>0</v>
      </c>
      <c r="H98" s="112">
        <f t="shared" si="4"/>
        <v>0</v>
      </c>
      <c r="I98" s="112">
        <f t="shared" si="5"/>
        <v>0</v>
      </c>
      <c r="J98" s="113"/>
    </row>
    <row r="99" spans="1:10" ht="16.5" x14ac:dyDescent="0.25">
      <c r="A99" s="108">
        <v>98</v>
      </c>
      <c r="B99" s="109" t="s">
        <v>291</v>
      </c>
      <c r="C99" s="110" t="s">
        <v>303</v>
      </c>
      <c r="D99" s="110">
        <v>1</v>
      </c>
      <c r="E99" s="111"/>
      <c r="F99" s="112">
        <v>60666.666666666664</v>
      </c>
      <c r="G99" s="112">
        <f t="shared" si="3"/>
        <v>11526.666666666666</v>
      </c>
      <c r="H99" s="112">
        <f t="shared" si="4"/>
        <v>72193.333333333328</v>
      </c>
      <c r="I99" s="112">
        <f t="shared" si="5"/>
        <v>72193.333333333328</v>
      </c>
      <c r="J99" s="113"/>
    </row>
    <row r="100" spans="1:10" ht="16.5" x14ac:dyDescent="0.25">
      <c r="A100" s="108">
        <v>99</v>
      </c>
      <c r="B100" s="109" t="s">
        <v>68</v>
      </c>
      <c r="C100" s="110" t="s">
        <v>303</v>
      </c>
      <c r="D100" s="110">
        <v>1</v>
      </c>
      <c r="E100" s="111"/>
      <c r="F100" s="112">
        <v>380666.66666666669</v>
      </c>
      <c r="G100" s="112">
        <f t="shared" si="3"/>
        <v>72326.666666666672</v>
      </c>
      <c r="H100" s="112">
        <f t="shared" si="4"/>
        <v>452993.33333333337</v>
      </c>
      <c r="I100" s="112">
        <f t="shared" si="5"/>
        <v>452993.33333333337</v>
      </c>
      <c r="J100" s="113"/>
    </row>
    <row r="101" spans="1:10" ht="17.25" thickBot="1" x14ac:dyDescent="0.3">
      <c r="A101" s="108">
        <v>100</v>
      </c>
      <c r="B101" s="109" t="s">
        <v>170</v>
      </c>
      <c r="C101" s="110" t="s">
        <v>303</v>
      </c>
      <c r="D101" s="110">
        <v>1</v>
      </c>
      <c r="E101" s="111"/>
      <c r="F101" s="112">
        <v>266000</v>
      </c>
      <c r="G101" s="112">
        <f t="shared" si="3"/>
        <v>50540</v>
      </c>
      <c r="H101" s="91">
        <f t="shared" si="4"/>
        <v>316540</v>
      </c>
      <c r="I101" s="112">
        <f t="shared" si="5"/>
        <v>316540</v>
      </c>
      <c r="J101" s="113"/>
    </row>
    <row r="102" spans="1:10" ht="16.5" x14ac:dyDescent="0.25">
      <c r="A102" s="108">
        <v>101</v>
      </c>
      <c r="B102" s="109" t="s">
        <v>270</v>
      </c>
      <c r="C102" s="110" t="s">
        <v>303</v>
      </c>
      <c r="D102" s="110">
        <v>1</v>
      </c>
      <c r="E102" s="111"/>
      <c r="F102" s="112">
        <v>51333.333333333336</v>
      </c>
      <c r="G102" s="112">
        <f t="shared" si="3"/>
        <v>9753.3333333333339</v>
      </c>
      <c r="H102" s="112">
        <f t="shared" si="4"/>
        <v>61086.666666666672</v>
      </c>
      <c r="I102" s="112">
        <f t="shared" si="5"/>
        <v>61086.666666666672</v>
      </c>
      <c r="J102" s="113"/>
    </row>
    <row r="103" spans="1:10" ht="16.5" hidden="1" x14ac:dyDescent="0.25">
      <c r="A103" s="108">
        <v>102</v>
      </c>
      <c r="B103" s="109" t="s">
        <v>292</v>
      </c>
      <c r="C103" s="110" t="s">
        <v>303</v>
      </c>
      <c r="D103" s="110">
        <v>1</v>
      </c>
      <c r="E103" s="111"/>
      <c r="F103" s="112">
        <v>0</v>
      </c>
      <c r="G103" s="112">
        <f t="shared" si="3"/>
        <v>0</v>
      </c>
      <c r="H103" s="112">
        <f t="shared" si="4"/>
        <v>0</v>
      </c>
      <c r="I103" s="112">
        <f t="shared" si="5"/>
        <v>0</v>
      </c>
      <c r="J103" s="113"/>
    </row>
    <row r="104" spans="1:10" ht="16.5" hidden="1" x14ac:dyDescent="0.25">
      <c r="A104" s="108">
        <v>103</v>
      </c>
      <c r="B104" s="109" t="s">
        <v>293</v>
      </c>
      <c r="C104" s="110" t="s">
        <v>303</v>
      </c>
      <c r="D104" s="110">
        <v>1</v>
      </c>
      <c r="E104" s="111"/>
      <c r="F104" s="112">
        <v>0</v>
      </c>
      <c r="G104" s="112">
        <f t="shared" si="3"/>
        <v>0</v>
      </c>
      <c r="H104" s="112">
        <f t="shared" si="4"/>
        <v>0</v>
      </c>
      <c r="I104" s="112">
        <f t="shared" si="5"/>
        <v>0</v>
      </c>
      <c r="J104" s="113"/>
    </row>
    <row r="105" spans="1:10" ht="30" x14ac:dyDescent="0.25">
      <c r="A105" s="108">
        <v>104</v>
      </c>
      <c r="B105" s="109" t="s">
        <v>72</v>
      </c>
      <c r="C105" s="110" t="s">
        <v>303</v>
      </c>
      <c r="D105" s="110">
        <v>1</v>
      </c>
      <c r="E105" s="111"/>
      <c r="F105" s="112">
        <v>247333.33333333334</v>
      </c>
      <c r="G105" s="112">
        <f t="shared" si="3"/>
        <v>46993.333333333336</v>
      </c>
      <c r="H105" s="112">
        <f t="shared" si="4"/>
        <v>294326.66666666669</v>
      </c>
      <c r="I105" s="112">
        <f t="shared" si="5"/>
        <v>294326.66666666669</v>
      </c>
      <c r="J105" s="113"/>
    </row>
    <row r="106" spans="1:10" ht="16.5" x14ac:dyDescent="0.25">
      <c r="A106" s="108">
        <v>105</v>
      </c>
      <c r="B106" s="109" t="s">
        <v>209</v>
      </c>
      <c r="C106" s="110" t="s">
        <v>303</v>
      </c>
      <c r="D106" s="110">
        <v>1</v>
      </c>
      <c r="E106" s="111"/>
      <c r="F106" s="112">
        <v>132666.66666666666</v>
      </c>
      <c r="G106" s="112">
        <f t="shared" si="3"/>
        <v>25206.666666666664</v>
      </c>
      <c r="H106" s="112">
        <f t="shared" si="4"/>
        <v>157873.33333333331</v>
      </c>
      <c r="I106" s="112">
        <f t="shared" si="5"/>
        <v>157873.33333333331</v>
      </c>
      <c r="J106" s="113"/>
    </row>
    <row r="107" spans="1:10" ht="16.5" hidden="1" x14ac:dyDescent="0.25">
      <c r="A107" s="108">
        <v>106</v>
      </c>
      <c r="B107" s="109" t="s">
        <v>294</v>
      </c>
      <c r="C107" s="110" t="s">
        <v>303</v>
      </c>
      <c r="D107" s="110">
        <v>1</v>
      </c>
      <c r="E107" s="111"/>
      <c r="F107" s="112">
        <v>0</v>
      </c>
      <c r="G107" s="112">
        <f t="shared" si="3"/>
        <v>0</v>
      </c>
      <c r="H107" s="112">
        <f t="shared" si="4"/>
        <v>0</v>
      </c>
      <c r="I107" s="112">
        <f t="shared" si="5"/>
        <v>0</v>
      </c>
      <c r="J107" s="113"/>
    </row>
    <row r="108" spans="1:10" x14ac:dyDescent="0.25">
      <c r="F108" s="112">
        <f>SUBTOTAL(9,F2:F107)</f>
        <v>25178733.333333332</v>
      </c>
      <c r="G108" s="112">
        <f t="shared" ref="G108:I108" si="6">SUBTOTAL(9,G2:G107)</f>
        <v>4783959.3333333349</v>
      </c>
      <c r="H108" s="112">
        <f t="shared" si="6"/>
        <v>29962692.666666668</v>
      </c>
      <c r="I108" s="112">
        <f t="shared" si="6"/>
        <v>29962692.666666668</v>
      </c>
    </row>
  </sheetData>
  <autoFilter ref="A1:P107">
    <filterColumn colId="8">
      <filters>
        <filter val="1.032.126,67"/>
        <filter val="1.190.793,33"/>
        <filter val="1.199.202,67"/>
        <filter val="1.230.936,00"/>
        <filter val="1.721.533,33"/>
        <filter val="120.745,33"/>
        <filter val="135.660,00"/>
        <filter val="140.420,00"/>
        <filter val="143.117,33"/>
        <filter val="146.766,67"/>
        <filter val="148.512,00"/>
        <filter val="150.654,00"/>
        <filter val="151.685,33"/>
        <filter val="157.873,33"/>
        <filter val="194.366,67"/>
        <filter val="198.650,67"/>
        <filter val="2.237.993,33"/>
        <filter val="2.982.933,33"/>
        <filter val="205.632,00"/>
        <filter val="23.006,67"/>
        <filter val="231.018,67"/>
        <filter val="24.593,33"/>
        <filter val="294.326,67"/>
        <filter val="3.109.787,33"/>
        <filter val="310.193,33"/>
        <filter val="316.540,00"/>
        <filter val="317.016,00"/>
        <filter val="330.820,00"/>
        <filter val="34.113,33"/>
        <filter val="341.926,67"/>
        <filter val="362.077,33"/>
        <filter val="389.526,67"/>
        <filter val="390.161,33"/>
        <filter val="4.736.993,33"/>
        <filter val="44.109,33"/>
        <filter val="45.696,00"/>
        <filter val="452.993,33"/>
        <filter val="50.138,67"/>
        <filter val="53.312,00"/>
        <filter val="56.326,67"/>
        <filter val="61.086,67"/>
        <filter val="67.433,33"/>
        <filter val="72.193,33"/>
        <filter val="76.953,33"/>
        <filter val="769.850,67"/>
        <filter val="770.326,67"/>
        <filter val="809.993,33"/>
        <filter val="865.526,67"/>
        <filter val="90.043,33"/>
        <filter val="92.820,00"/>
        <filter val="95.517,33"/>
      </filters>
    </filterColumn>
  </autoFilter>
  <conditionalFormatting sqref="B2:B107">
    <cfRule type="duplicateValues" dxfId="0" priority="1"/>
  </conditionalFormatting>
  <pageMargins left="0.70866141732283472" right="0.70866141732283472" top="0.74803149606299213" bottom="0.74803149606299213" header="0" footer="0"/>
  <pageSetup orientation="portrait" r:id="rId1"/>
  <headerFooter>
    <oddHeader>&amp;L
RFI- FERRETERÍA</oddHeader>
    <oddFooter>&amp;RPágina No.&amp;P</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59999389629810485"/>
  </sheetPr>
  <dimension ref="A1:K118"/>
  <sheetViews>
    <sheetView workbookViewId="0">
      <selection activeCell="F3" sqref="F3"/>
    </sheetView>
  </sheetViews>
  <sheetFormatPr baseColWidth="10" defaultRowHeight="60" customHeight="1" x14ac:dyDescent="0.2"/>
  <cols>
    <col min="1" max="1" width="8.85546875" bestFit="1" customWidth="1"/>
    <col min="2" max="2" width="84.7109375" style="127" customWidth="1"/>
    <col min="3" max="3" width="38.5703125" customWidth="1"/>
  </cols>
  <sheetData>
    <row r="1" spans="1:11" ht="60" customHeight="1" x14ac:dyDescent="0.2">
      <c r="A1" s="303" t="s">
        <v>0</v>
      </c>
      <c r="B1" s="302" t="s">
        <v>1</v>
      </c>
      <c r="C1" s="302" t="s">
        <v>3</v>
      </c>
      <c r="D1" s="302" t="s">
        <v>4</v>
      </c>
      <c r="E1" s="302" t="s">
        <v>5</v>
      </c>
      <c r="F1" s="302" t="s">
        <v>6</v>
      </c>
      <c r="G1" s="202" t="s">
        <v>235</v>
      </c>
      <c r="H1" s="325" t="s">
        <v>236</v>
      </c>
      <c r="I1" s="325" t="s">
        <v>237</v>
      </c>
      <c r="J1" s="327" t="s">
        <v>238</v>
      </c>
      <c r="K1" s="327" t="s">
        <v>239</v>
      </c>
    </row>
    <row r="2" spans="1:11" ht="60" customHeight="1" x14ac:dyDescent="0.2">
      <c r="A2" s="303"/>
      <c r="B2" s="302"/>
      <c r="C2" s="302"/>
      <c r="D2" s="302"/>
      <c r="E2" s="302"/>
      <c r="F2" s="302"/>
      <c r="G2" s="204" t="s">
        <v>240</v>
      </c>
      <c r="H2" s="326"/>
      <c r="I2" s="326"/>
      <c r="J2" s="328"/>
      <c r="K2" s="328"/>
    </row>
    <row r="3" spans="1:11" ht="108.75" customHeight="1" x14ac:dyDescent="0.2">
      <c r="A3" s="198">
        <v>1</v>
      </c>
      <c r="B3" s="148" t="s">
        <v>222</v>
      </c>
      <c r="C3" s="149" t="s">
        <v>21</v>
      </c>
      <c r="D3" s="149" t="s">
        <v>22</v>
      </c>
      <c r="E3" s="205">
        <v>1</v>
      </c>
      <c r="F3" s="147" t="s">
        <v>23</v>
      </c>
      <c r="G3" s="203"/>
      <c r="H3" s="203"/>
      <c r="I3" s="203"/>
      <c r="J3" s="203"/>
      <c r="K3" s="203"/>
    </row>
    <row r="4" spans="1:11" ht="60" customHeight="1" x14ac:dyDescent="0.2">
      <c r="A4" s="199">
        <v>2</v>
      </c>
      <c r="B4" s="161" t="s">
        <v>25</v>
      </c>
      <c r="C4" s="161" t="s">
        <v>26</v>
      </c>
      <c r="D4" s="162" t="s">
        <v>22</v>
      </c>
      <c r="E4" s="206">
        <v>1</v>
      </c>
      <c r="F4" s="160" t="s">
        <v>23</v>
      </c>
      <c r="G4" s="203"/>
      <c r="H4" s="203"/>
      <c r="I4" s="203"/>
      <c r="J4" s="203"/>
      <c r="K4" s="203"/>
    </row>
    <row r="5" spans="1:11" ht="60" customHeight="1" x14ac:dyDescent="0.2">
      <c r="A5" s="199">
        <v>3</v>
      </c>
      <c r="B5" s="161" t="s">
        <v>283</v>
      </c>
      <c r="C5" s="161" t="s">
        <v>28</v>
      </c>
      <c r="D5" s="162" t="s">
        <v>22</v>
      </c>
      <c r="E5" s="206">
        <v>1</v>
      </c>
      <c r="F5" s="160" t="s">
        <v>23</v>
      </c>
      <c r="G5" s="203"/>
      <c r="H5" s="203"/>
      <c r="I5" s="203"/>
      <c r="J5" s="203"/>
      <c r="K5" s="203"/>
    </row>
    <row r="6" spans="1:11" ht="60" customHeight="1" x14ac:dyDescent="0.2">
      <c r="A6" s="199">
        <v>4</v>
      </c>
      <c r="B6" s="161" t="s">
        <v>29</v>
      </c>
      <c r="C6" s="161" t="s">
        <v>30</v>
      </c>
      <c r="D6" s="162" t="s">
        <v>22</v>
      </c>
      <c r="E6" s="206">
        <v>1</v>
      </c>
      <c r="F6" s="160" t="s">
        <v>31</v>
      </c>
      <c r="G6" s="203"/>
      <c r="H6" s="203"/>
      <c r="I6" s="203"/>
      <c r="J6" s="203"/>
      <c r="K6" s="203"/>
    </row>
    <row r="7" spans="1:11" ht="60" customHeight="1" x14ac:dyDescent="0.2">
      <c r="A7" s="199">
        <v>5</v>
      </c>
      <c r="B7" s="161" t="s">
        <v>32</v>
      </c>
      <c r="C7" s="161" t="s">
        <v>33</v>
      </c>
      <c r="D7" s="162" t="s">
        <v>22</v>
      </c>
      <c r="E7" s="206">
        <v>1</v>
      </c>
      <c r="F7" s="160" t="s">
        <v>31</v>
      </c>
      <c r="G7" s="203"/>
      <c r="H7" s="203"/>
      <c r="I7" s="203"/>
      <c r="J7" s="203"/>
      <c r="K7" s="203"/>
    </row>
    <row r="8" spans="1:11" ht="60" customHeight="1" x14ac:dyDescent="0.2">
      <c r="A8" s="199">
        <v>6</v>
      </c>
      <c r="B8" s="161" t="s">
        <v>35</v>
      </c>
      <c r="C8" s="161" t="s">
        <v>36</v>
      </c>
      <c r="D8" s="162" t="s">
        <v>22</v>
      </c>
      <c r="E8" s="206">
        <v>1</v>
      </c>
      <c r="F8" s="160" t="s">
        <v>23</v>
      </c>
      <c r="G8" s="203"/>
      <c r="H8" s="203"/>
      <c r="I8" s="203"/>
      <c r="J8" s="203"/>
      <c r="K8" s="203"/>
    </row>
    <row r="9" spans="1:11" ht="60" customHeight="1" x14ac:dyDescent="0.2">
      <c r="A9" s="198">
        <v>7</v>
      </c>
      <c r="B9" s="148" t="s">
        <v>37</v>
      </c>
      <c r="C9" s="148" t="s">
        <v>38</v>
      </c>
      <c r="D9" s="149" t="s">
        <v>22</v>
      </c>
      <c r="E9" s="205">
        <v>1</v>
      </c>
      <c r="F9" s="147" t="s">
        <v>23</v>
      </c>
      <c r="G9" s="203"/>
      <c r="H9" s="203"/>
      <c r="I9" s="203"/>
      <c r="J9" s="203"/>
      <c r="K9" s="203"/>
    </row>
    <row r="10" spans="1:11" ht="60" customHeight="1" x14ac:dyDescent="0.2">
      <c r="A10" s="198">
        <v>8</v>
      </c>
      <c r="B10" s="148" t="s">
        <v>39</v>
      </c>
      <c r="C10" s="148" t="s">
        <v>40</v>
      </c>
      <c r="D10" s="149" t="s">
        <v>22</v>
      </c>
      <c r="E10" s="205">
        <v>1</v>
      </c>
      <c r="F10" s="147" t="s">
        <v>31</v>
      </c>
      <c r="G10" s="203"/>
      <c r="H10" s="203"/>
      <c r="I10" s="203"/>
      <c r="J10" s="203"/>
      <c r="K10" s="203"/>
    </row>
    <row r="11" spans="1:11" ht="60" customHeight="1" x14ac:dyDescent="0.2">
      <c r="A11" s="199">
        <v>9</v>
      </c>
      <c r="B11" s="161" t="s">
        <v>41</v>
      </c>
      <c r="C11" s="161" t="s">
        <v>42</v>
      </c>
      <c r="D11" s="162" t="s">
        <v>22</v>
      </c>
      <c r="E11" s="206">
        <v>1</v>
      </c>
      <c r="F11" s="160" t="s">
        <v>31</v>
      </c>
      <c r="G11" s="203"/>
      <c r="H11" s="203"/>
      <c r="I11" s="203"/>
      <c r="J11" s="203"/>
      <c r="K11" s="203"/>
    </row>
    <row r="12" spans="1:11" ht="60" customHeight="1" x14ac:dyDescent="0.2">
      <c r="A12" s="199">
        <v>10</v>
      </c>
      <c r="B12" s="161" t="s">
        <v>43</v>
      </c>
      <c r="C12" s="162" t="s">
        <v>44</v>
      </c>
      <c r="D12" s="162" t="s">
        <v>22</v>
      </c>
      <c r="E12" s="206">
        <v>1</v>
      </c>
      <c r="F12" s="160" t="s">
        <v>31</v>
      </c>
      <c r="G12" s="203"/>
      <c r="H12" s="203"/>
      <c r="I12" s="203"/>
      <c r="J12" s="203"/>
      <c r="K12" s="203"/>
    </row>
    <row r="13" spans="1:11" ht="60" customHeight="1" x14ac:dyDescent="0.2">
      <c r="A13" s="199">
        <v>11</v>
      </c>
      <c r="B13" s="161" t="s">
        <v>46</v>
      </c>
      <c r="C13" s="161" t="s">
        <v>47</v>
      </c>
      <c r="D13" s="162" t="s">
        <v>48</v>
      </c>
      <c r="E13" s="206">
        <v>1</v>
      </c>
      <c r="F13" s="160" t="s">
        <v>23</v>
      </c>
      <c r="G13" s="203"/>
      <c r="H13" s="203"/>
      <c r="I13" s="203"/>
      <c r="J13" s="203"/>
      <c r="K13" s="203"/>
    </row>
    <row r="14" spans="1:11" ht="60" customHeight="1" x14ac:dyDescent="0.2">
      <c r="A14" s="199">
        <v>12</v>
      </c>
      <c r="B14" s="161" t="s">
        <v>333</v>
      </c>
      <c r="C14" s="161" t="s">
        <v>335</v>
      </c>
      <c r="D14" s="162" t="s">
        <v>48</v>
      </c>
      <c r="E14" s="206">
        <v>1</v>
      </c>
      <c r="F14" s="160" t="s">
        <v>23</v>
      </c>
      <c r="G14" s="203"/>
      <c r="H14" s="203"/>
      <c r="I14" s="203"/>
      <c r="J14" s="203"/>
      <c r="K14" s="203"/>
    </row>
    <row r="15" spans="1:11" ht="60" customHeight="1" x14ac:dyDescent="0.2">
      <c r="A15" s="199">
        <v>13</v>
      </c>
      <c r="B15" s="161" t="s">
        <v>51</v>
      </c>
      <c r="C15" s="161" t="s">
        <v>336</v>
      </c>
      <c r="D15" s="162" t="s">
        <v>48</v>
      </c>
      <c r="E15" s="206">
        <v>1</v>
      </c>
      <c r="F15" s="160" t="s">
        <v>23</v>
      </c>
      <c r="G15" s="203"/>
      <c r="H15" s="203"/>
      <c r="I15" s="203"/>
      <c r="J15" s="203"/>
      <c r="K15" s="203"/>
    </row>
    <row r="16" spans="1:11" ht="60" customHeight="1" x14ac:dyDescent="0.2">
      <c r="A16" s="198">
        <v>14</v>
      </c>
      <c r="B16" s="148" t="s">
        <v>53</v>
      </c>
      <c r="C16" s="148" t="s">
        <v>54</v>
      </c>
      <c r="D16" s="149" t="s">
        <v>48</v>
      </c>
      <c r="E16" s="205">
        <v>5</v>
      </c>
      <c r="F16" s="147" t="s">
        <v>23</v>
      </c>
      <c r="G16" s="203"/>
      <c r="H16" s="203"/>
      <c r="I16" s="203"/>
      <c r="J16" s="203"/>
      <c r="K16" s="203"/>
    </row>
    <row r="17" spans="1:11" ht="60" customHeight="1" x14ac:dyDescent="0.2">
      <c r="A17" s="199">
        <v>15</v>
      </c>
      <c r="B17" s="161" t="s">
        <v>55</v>
      </c>
      <c r="C17" s="175" t="s">
        <v>56</v>
      </c>
      <c r="D17" s="162" t="s">
        <v>22</v>
      </c>
      <c r="E17" s="206">
        <v>1</v>
      </c>
      <c r="F17" s="160" t="s">
        <v>23</v>
      </c>
      <c r="G17" s="203"/>
      <c r="H17" s="203"/>
      <c r="I17" s="203"/>
      <c r="J17" s="203"/>
      <c r="K17" s="203"/>
    </row>
    <row r="18" spans="1:11" ht="60" customHeight="1" x14ac:dyDescent="0.2">
      <c r="A18" s="198">
        <v>16</v>
      </c>
      <c r="B18" s="148" t="s">
        <v>57</v>
      </c>
      <c r="C18" s="148" t="s">
        <v>58</v>
      </c>
      <c r="D18" s="149" t="s">
        <v>22</v>
      </c>
      <c r="E18" s="205">
        <v>2</v>
      </c>
      <c r="F18" s="147" t="s">
        <v>23</v>
      </c>
      <c r="G18" s="203"/>
      <c r="H18" s="203"/>
      <c r="I18" s="203"/>
      <c r="J18" s="203"/>
      <c r="K18" s="203"/>
    </row>
    <row r="19" spans="1:11" ht="60" customHeight="1" x14ac:dyDescent="0.2">
      <c r="A19" s="198">
        <v>17</v>
      </c>
      <c r="B19" s="161" t="s">
        <v>59</v>
      </c>
      <c r="C19" s="161" t="s">
        <v>60</v>
      </c>
      <c r="D19" s="162" t="s">
        <v>22</v>
      </c>
      <c r="E19" s="206">
        <v>5</v>
      </c>
      <c r="F19" s="160" t="s">
        <v>23</v>
      </c>
      <c r="G19" s="203"/>
      <c r="H19" s="203"/>
      <c r="I19" s="203"/>
      <c r="J19" s="203"/>
      <c r="K19" s="203"/>
    </row>
    <row r="20" spans="1:11" ht="60" customHeight="1" x14ac:dyDescent="0.2">
      <c r="A20" s="198">
        <v>18</v>
      </c>
      <c r="B20" s="161" t="s">
        <v>309</v>
      </c>
      <c r="C20" s="161" t="s">
        <v>62</v>
      </c>
      <c r="D20" s="162" t="s">
        <v>22</v>
      </c>
      <c r="E20" s="206">
        <v>1</v>
      </c>
      <c r="F20" s="160" t="s">
        <v>23</v>
      </c>
      <c r="G20" s="203"/>
      <c r="H20" s="203"/>
      <c r="I20" s="203"/>
      <c r="J20" s="203"/>
      <c r="K20" s="203"/>
    </row>
    <row r="21" spans="1:11" ht="60" customHeight="1" x14ac:dyDescent="0.2">
      <c r="A21" s="198">
        <v>19</v>
      </c>
      <c r="B21" s="161" t="s">
        <v>63</v>
      </c>
      <c r="C21" s="161" t="s">
        <v>64</v>
      </c>
      <c r="D21" s="162" t="s">
        <v>22</v>
      </c>
      <c r="E21" s="206">
        <v>2</v>
      </c>
      <c r="F21" s="160" t="s">
        <v>23</v>
      </c>
      <c r="G21" s="203"/>
      <c r="H21" s="203"/>
      <c r="I21" s="203"/>
      <c r="J21" s="203"/>
      <c r="K21" s="203"/>
    </row>
    <row r="22" spans="1:11" ht="60" customHeight="1" x14ac:dyDescent="0.2">
      <c r="A22" s="199">
        <v>20</v>
      </c>
      <c r="B22" s="161" t="s">
        <v>65</v>
      </c>
      <c r="C22" s="161" t="s">
        <v>66</v>
      </c>
      <c r="D22" s="162" t="s">
        <v>22</v>
      </c>
      <c r="E22" s="206">
        <v>4</v>
      </c>
      <c r="F22" s="160" t="s">
        <v>23</v>
      </c>
      <c r="G22" s="203"/>
      <c r="H22" s="203"/>
      <c r="I22" s="203"/>
      <c r="J22" s="203"/>
      <c r="K22" s="203"/>
    </row>
    <row r="23" spans="1:11" ht="60" customHeight="1" x14ac:dyDescent="0.2">
      <c r="A23" s="199">
        <v>21</v>
      </c>
      <c r="B23" s="161" t="s">
        <v>266</v>
      </c>
      <c r="C23" s="161" t="s">
        <v>66</v>
      </c>
      <c r="D23" s="162" t="s">
        <v>22</v>
      </c>
      <c r="E23" s="206">
        <v>3</v>
      </c>
      <c r="F23" s="160" t="s">
        <v>23</v>
      </c>
      <c r="G23" s="203"/>
      <c r="H23" s="203"/>
      <c r="I23" s="203"/>
      <c r="J23" s="203"/>
      <c r="K23" s="203"/>
    </row>
    <row r="24" spans="1:11" ht="60" customHeight="1" x14ac:dyDescent="0.2">
      <c r="A24" s="199">
        <v>22</v>
      </c>
      <c r="B24" s="161" t="s">
        <v>68</v>
      </c>
      <c r="C24" s="161" t="s">
        <v>69</v>
      </c>
      <c r="D24" s="162" t="s">
        <v>22</v>
      </c>
      <c r="E24" s="206">
        <v>1</v>
      </c>
      <c r="F24" s="160" t="s">
        <v>23</v>
      </c>
      <c r="G24" s="203"/>
      <c r="H24" s="203"/>
      <c r="I24" s="203"/>
      <c r="J24" s="203"/>
      <c r="K24" s="203"/>
    </row>
    <row r="25" spans="1:11" ht="60" customHeight="1" x14ac:dyDescent="0.2">
      <c r="A25" s="198">
        <v>23</v>
      </c>
      <c r="B25" s="148" t="s">
        <v>70</v>
      </c>
      <c r="C25" s="148" t="s">
        <v>71</v>
      </c>
      <c r="D25" s="149" t="s">
        <v>22</v>
      </c>
      <c r="E25" s="205">
        <v>3</v>
      </c>
      <c r="F25" s="147" t="s">
        <v>23</v>
      </c>
      <c r="G25" s="203"/>
      <c r="H25" s="203"/>
      <c r="I25" s="203"/>
      <c r="J25" s="203"/>
      <c r="K25" s="203"/>
    </row>
    <row r="26" spans="1:11" ht="60" customHeight="1" x14ac:dyDescent="0.2">
      <c r="A26" s="199">
        <v>24</v>
      </c>
      <c r="B26" s="161" t="s">
        <v>72</v>
      </c>
      <c r="C26" s="161" t="s">
        <v>334</v>
      </c>
      <c r="D26" s="162" t="s">
        <v>22</v>
      </c>
      <c r="E26" s="206">
        <v>2</v>
      </c>
      <c r="F26" s="160" t="s">
        <v>23</v>
      </c>
      <c r="G26" s="203"/>
      <c r="H26" s="203"/>
      <c r="I26" s="203"/>
      <c r="J26" s="203"/>
      <c r="K26" s="203"/>
    </row>
    <row r="27" spans="1:11" ht="60" customHeight="1" x14ac:dyDescent="0.2">
      <c r="A27" s="198">
        <v>25</v>
      </c>
      <c r="B27" s="148" t="s">
        <v>73</v>
      </c>
      <c r="C27" s="148" t="s">
        <v>74</v>
      </c>
      <c r="D27" s="149" t="s">
        <v>22</v>
      </c>
      <c r="E27" s="205">
        <v>1</v>
      </c>
      <c r="F27" s="147" t="s">
        <v>31</v>
      </c>
      <c r="G27" s="203"/>
      <c r="H27" s="203"/>
      <c r="I27" s="203"/>
      <c r="J27" s="203"/>
      <c r="K27" s="203"/>
    </row>
    <row r="28" spans="1:11" ht="60" customHeight="1" x14ac:dyDescent="0.2">
      <c r="A28" s="198">
        <v>26</v>
      </c>
      <c r="B28" s="148" t="s">
        <v>75</v>
      </c>
      <c r="C28" s="148" t="s">
        <v>76</v>
      </c>
      <c r="D28" s="149" t="s">
        <v>22</v>
      </c>
      <c r="E28" s="205">
        <v>1</v>
      </c>
      <c r="F28" s="147" t="s">
        <v>31</v>
      </c>
      <c r="G28" s="203"/>
      <c r="H28" s="203"/>
      <c r="I28" s="203"/>
      <c r="J28" s="203"/>
      <c r="K28" s="203"/>
    </row>
    <row r="29" spans="1:11" ht="60" customHeight="1" x14ac:dyDescent="0.2">
      <c r="A29" s="199">
        <v>27</v>
      </c>
      <c r="B29" s="148" t="s">
        <v>263</v>
      </c>
      <c r="C29" s="148" t="s">
        <v>78</v>
      </c>
      <c r="D29" s="149" t="s">
        <v>22</v>
      </c>
      <c r="E29" s="205">
        <v>1</v>
      </c>
      <c r="F29" s="147" t="s">
        <v>31</v>
      </c>
      <c r="G29" s="203"/>
      <c r="H29" s="203"/>
      <c r="I29" s="203"/>
      <c r="J29" s="203"/>
      <c r="K29" s="203"/>
    </row>
    <row r="30" spans="1:11" ht="60" customHeight="1" x14ac:dyDescent="0.2">
      <c r="A30" s="198">
        <v>28</v>
      </c>
      <c r="B30" s="148" t="s">
        <v>79</v>
      </c>
      <c r="C30" s="148" t="s">
        <v>80</v>
      </c>
      <c r="D30" s="149" t="s">
        <v>81</v>
      </c>
      <c r="E30" s="205">
        <v>1</v>
      </c>
      <c r="F30" s="147" t="s">
        <v>31</v>
      </c>
      <c r="G30" s="203"/>
      <c r="H30" s="203"/>
      <c r="I30" s="203"/>
      <c r="J30" s="203"/>
      <c r="K30" s="203"/>
    </row>
    <row r="31" spans="1:11" ht="60" customHeight="1" x14ac:dyDescent="0.2">
      <c r="A31" s="198">
        <v>29</v>
      </c>
      <c r="B31" s="148" t="s">
        <v>252</v>
      </c>
      <c r="C31" s="148" t="s">
        <v>83</v>
      </c>
      <c r="D31" s="149" t="s">
        <v>22</v>
      </c>
      <c r="E31" s="205">
        <v>1</v>
      </c>
      <c r="F31" s="147" t="s">
        <v>31</v>
      </c>
      <c r="G31" s="203"/>
      <c r="H31" s="203"/>
      <c r="I31" s="203"/>
      <c r="J31" s="203"/>
      <c r="K31" s="203"/>
    </row>
    <row r="32" spans="1:11" ht="60" customHeight="1" x14ac:dyDescent="0.2">
      <c r="A32" s="199">
        <v>30</v>
      </c>
      <c r="B32" s="161" t="s">
        <v>84</v>
      </c>
      <c r="C32" s="161" t="s">
        <v>337</v>
      </c>
      <c r="D32" s="162" t="s">
        <v>22</v>
      </c>
      <c r="E32" s="206">
        <v>1</v>
      </c>
      <c r="F32" s="160" t="s">
        <v>31</v>
      </c>
      <c r="G32" s="203"/>
      <c r="H32" s="203"/>
      <c r="I32" s="203"/>
      <c r="J32" s="203"/>
      <c r="K32" s="203"/>
    </row>
    <row r="33" spans="1:11" ht="60" customHeight="1" x14ac:dyDescent="0.2">
      <c r="A33" s="198">
        <v>31</v>
      </c>
      <c r="B33" s="161" t="s">
        <v>85</v>
      </c>
      <c r="C33" s="161" t="s">
        <v>86</v>
      </c>
      <c r="D33" s="162" t="s">
        <v>22</v>
      </c>
      <c r="E33" s="206">
        <v>1</v>
      </c>
      <c r="F33" s="160" t="s">
        <v>31</v>
      </c>
      <c r="G33" s="203"/>
      <c r="H33" s="203"/>
      <c r="I33" s="203"/>
      <c r="J33" s="203"/>
      <c r="K33" s="203"/>
    </row>
    <row r="34" spans="1:11" ht="60" customHeight="1" x14ac:dyDescent="0.2">
      <c r="A34" s="198">
        <v>32</v>
      </c>
      <c r="B34" s="148" t="s">
        <v>310</v>
      </c>
      <c r="C34" s="148" t="s">
        <v>88</v>
      </c>
      <c r="D34" s="149" t="s">
        <v>22</v>
      </c>
      <c r="E34" s="205">
        <v>1</v>
      </c>
      <c r="F34" s="147" t="s">
        <v>31</v>
      </c>
      <c r="G34" s="203"/>
      <c r="H34" s="203"/>
      <c r="I34" s="203"/>
      <c r="J34" s="203"/>
      <c r="K34" s="203"/>
    </row>
    <row r="35" spans="1:11" ht="60" customHeight="1" x14ac:dyDescent="0.2">
      <c r="A35" s="199">
        <v>33</v>
      </c>
      <c r="B35" s="148" t="s">
        <v>89</v>
      </c>
      <c r="C35" s="148" t="s">
        <v>90</v>
      </c>
      <c r="D35" s="149" t="s">
        <v>22</v>
      </c>
      <c r="E35" s="205">
        <v>1</v>
      </c>
      <c r="F35" s="147" t="s">
        <v>31</v>
      </c>
      <c r="G35" s="203"/>
      <c r="H35" s="203"/>
      <c r="I35" s="203"/>
      <c r="J35" s="203"/>
      <c r="K35" s="203"/>
    </row>
    <row r="36" spans="1:11" ht="60" customHeight="1" x14ac:dyDescent="0.2">
      <c r="A36" s="198">
        <v>34</v>
      </c>
      <c r="B36" s="161" t="s">
        <v>308</v>
      </c>
      <c r="C36" s="161" t="s">
        <v>92</v>
      </c>
      <c r="D36" s="162" t="s">
        <v>22</v>
      </c>
      <c r="E36" s="206">
        <v>1</v>
      </c>
      <c r="F36" s="160" t="s">
        <v>23</v>
      </c>
      <c r="G36" s="203"/>
      <c r="H36" s="203"/>
      <c r="I36" s="203"/>
      <c r="J36" s="203"/>
      <c r="K36" s="203"/>
    </row>
    <row r="37" spans="1:11" ht="60" customHeight="1" x14ac:dyDescent="0.2">
      <c r="A37" s="198">
        <v>35</v>
      </c>
      <c r="B37" s="161" t="s">
        <v>265</v>
      </c>
      <c r="C37" s="161" t="s">
        <v>94</v>
      </c>
      <c r="D37" s="162" t="s">
        <v>22</v>
      </c>
      <c r="E37" s="206">
        <v>1</v>
      </c>
      <c r="F37" s="160" t="s">
        <v>23</v>
      </c>
      <c r="G37" s="203"/>
      <c r="H37" s="203"/>
      <c r="I37" s="203"/>
      <c r="J37" s="203"/>
      <c r="K37" s="203"/>
    </row>
    <row r="38" spans="1:11" ht="60" customHeight="1" x14ac:dyDescent="0.2">
      <c r="A38" s="199">
        <v>36</v>
      </c>
      <c r="B38" s="161" t="s">
        <v>95</v>
      </c>
      <c r="C38" s="161" t="s">
        <v>96</v>
      </c>
      <c r="D38" s="162" t="s">
        <v>22</v>
      </c>
      <c r="E38" s="206">
        <v>1</v>
      </c>
      <c r="F38" s="160" t="s">
        <v>23</v>
      </c>
      <c r="G38" s="203"/>
      <c r="H38" s="203"/>
      <c r="I38" s="203"/>
      <c r="J38" s="203"/>
      <c r="K38" s="203"/>
    </row>
    <row r="39" spans="1:11" ht="60" customHeight="1" x14ac:dyDescent="0.2">
      <c r="A39" s="198">
        <v>37</v>
      </c>
      <c r="B39" s="148" t="s">
        <v>269</v>
      </c>
      <c r="C39" s="178" t="s">
        <v>98</v>
      </c>
      <c r="D39" s="149" t="s">
        <v>22</v>
      </c>
      <c r="E39" s="205">
        <v>6</v>
      </c>
      <c r="F39" s="147" t="s">
        <v>23</v>
      </c>
      <c r="G39" s="203"/>
      <c r="H39" s="203"/>
      <c r="I39" s="203"/>
      <c r="J39" s="203"/>
      <c r="K39" s="203"/>
    </row>
    <row r="40" spans="1:11" ht="60" customHeight="1" x14ac:dyDescent="0.2">
      <c r="A40" s="198">
        <v>38</v>
      </c>
      <c r="B40" s="148" t="s">
        <v>267</v>
      </c>
      <c r="C40" s="178" t="s">
        <v>100</v>
      </c>
      <c r="D40" s="149" t="s">
        <v>22</v>
      </c>
      <c r="E40" s="205">
        <v>6</v>
      </c>
      <c r="F40" s="147" t="s">
        <v>23</v>
      </c>
      <c r="G40" s="203"/>
      <c r="H40" s="203"/>
      <c r="I40" s="203"/>
      <c r="J40" s="203"/>
      <c r="K40" s="203"/>
    </row>
    <row r="41" spans="1:11" ht="60" customHeight="1" x14ac:dyDescent="0.2">
      <c r="A41" s="199">
        <v>39</v>
      </c>
      <c r="B41" s="161" t="s">
        <v>271</v>
      </c>
      <c r="C41" s="161" t="s">
        <v>100</v>
      </c>
      <c r="D41" s="162" t="s">
        <v>22</v>
      </c>
      <c r="E41" s="206">
        <v>4</v>
      </c>
      <c r="F41" s="160" t="s">
        <v>23</v>
      </c>
      <c r="G41" s="203"/>
      <c r="H41" s="203"/>
      <c r="I41" s="203"/>
      <c r="J41" s="203"/>
      <c r="K41" s="203"/>
    </row>
    <row r="42" spans="1:11" ht="60" customHeight="1" x14ac:dyDescent="0.2">
      <c r="A42" s="198">
        <v>40</v>
      </c>
      <c r="B42" s="148" t="s">
        <v>103</v>
      </c>
      <c r="C42" s="148" t="s">
        <v>104</v>
      </c>
      <c r="D42" s="149" t="s">
        <v>22</v>
      </c>
      <c r="E42" s="205">
        <v>2</v>
      </c>
      <c r="F42" s="147" t="s">
        <v>23</v>
      </c>
      <c r="G42" s="203"/>
      <c r="H42" s="203"/>
      <c r="I42" s="203"/>
      <c r="J42" s="203"/>
      <c r="K42" s="203"/>
    </row>
    <row r="43" spans="1:11" ht="60" customHeight="1" x14ac:dyDescent="0.2">
      <c r="A43" s="198">
        <v>41</v>
      </c>
      <c r="B43" s="148" t="s">
        <v>311</v>
      </c>
      <c r="C43" s="148" t="s">
        <v>106</v>
      </c>
      <c r="D43" s="149" t="s">
        <v>107</v>
      </c>
      <c r="E43" s="205">
        <v>2</v>
      </c>
      <c r="F43" s="147" t="s">
        <v>23</v>
      </c>
      <c r="G43" s="203"/>
      <c r="H43" s="203"/>
      <c r="I43" s="203"/>
      <c r="J43" s="203"/>
      <c r="K43" s="203"/>
    </row>
    <row r="44" spans="1:11" ht="60" customHeight="1" x14ac:dyDescent="0.2">
      <c r="A44" s="199">
        <v>42</v>
      </c>
      <c r="B44" s="161" t="s">
        <v>108</v>
      </c>
      <c r="C44" s="161" t="s">
        <v>109</v>
      </c>
      <c r="D44" s="162" t="s">
        <v>107</v>
      </c>
      <c r="E44" s="206">
        <v>3</v>
      </c>
      <c r="F44" s="160" t="s">
        <v>23</v>
      </c>
      <c r="G44" s="203"/>
      <c r="H44" s="203"/>
      <c r="I44" s="203"/>
      <c r="J44" s="203"/>
      <c r="K44" s="203"/>
    </row>
    <row r="45" spans="1:11" ht="60" customHeight="1" x14ac:dyDescent="0.2">
      <c r="A45" s="198">
        <v>43</v>
      </c>
      <c r="B45" s="148" t="s">
        <v>110</v>
      </c>
      <c r="C45" s="148" t="s">
        <v>111</v>
      </c>
      <c r="D45" s="149" t="s">
        <v>81</v>
      </c>
      <c r="E45" s="205">
        <v>1</v>
      </c>
      <c r="F45" s="147" t="s">
        <v>23</v>
      </c>
      <c r="G45" s="203"/>
      <c r="H45" s="203"/>
      <c r="I45" s="203"/>
      <c r="J45" s="203"/>
      <c r="K45" s="203"/>
    </row>
    <row r="46" spans="1:11" ht="60" customHeight="1" x14ac:dyDescent="0.2">
      <c r="A46" s="198">
        <v>44</v>
      </c>
      <c r="B46" s="148" t="s">
        <v>112</v>
      </c>
      <c r="C46" s="148" t="s">
        <v>113</v>
      </c>
      <c r="D46" s="149" t="s">
        <v>81</v>
      </c>
      <c r="E46" s="205">
        <v>1</v>
      </c>
      <c r="F46" s="147" t="s">
        <v>23</v>
      </c>
      <c r="G46" s="203"/>
      <c r="H46" s="203"/>
      <c r="I46" s="203"/>
      <c r="J46" s="203"/>
      <c r="K46" s="203"/>
    </row>
    <row r="47" spans="1:11" ht="60" customHeight="1" x14ac:dyDescent="0.2">
      <c r="A47" s="199">
        <v>45</v>
      </c>
      <c r="B47" s="161" t="s">
        <v>114</v>
      </c>
      <c r="C47" s="161" t="s">
        <v>115</v>
      </c>
      <c r="D47" s="149" t="s">
        <v>81</v>
      </c>
      <c r="E47" s="206">
        <v>2</v>
      </c>
      <c r="F47" s="160" t="s">
        <v>23</v>
      </c>
      <c r="G47" s="203"/>
      <c r="H47" s="203"/>
      <c r="I47" s="203"/>
      <c r="J47" s="203"/>
      <c r="K47" s="203"/>
    </row>
    <row r="48" spans="1:11" ht="60" customHeight="1" x14ac:dyDescent="0.2">
      <c r="A48" s="198">
        <v>46</v>
      </c>
      <c r="B48" s="161" t="s">
        <v>274</v>
      </c>
      <c r="C48" s="161" t="s">
        <v>117</v>
      </c>
      <c r="D48" s="149" t="s">
        <v>81</v>
      </c>
      <c r="E48" s="206">
        <v>8</v>
      </c>
      <c r="F48" s="160" t="s">
        <v>23</v>
      </c>
      <c r="G48" s="203"/>
      <c r="H48" s="203"/>
      <c r="I48" s="203"/>
      <c r="J48" s="203"/>
      <c r="K48" s="203"/>
    </row>
    <row r="49" spans="1:11" ht="60" customHeight="1" x14ac:dyDescent="0.2">
      <c r="A49" s="198">
        <v>47</v>
      </c>
      <c r="B49" s="161" t="s">
        <v>118</v>
      </c>
      <c r="C49" s="161" t="s">
        <v>119</v>
      </c>
      <c r="D49" s="162" t="s">
        <v>22</v>
      </c>
      <c r="E49" s="206">
        <v>4</v>
      </c>
      <c r="F49" s="160" t="s">
        <v>23</v>
      </c>
      <c r="G49" s="203"/>
      <c r="H49" s="203"/>
      <c r="I49" s="203"/>
      <c r="J49" s="203"/>
      <c r="K49" s="203"/>
    </row>
    <row r="50" spans="1:11" ht="60" customHeight="1" x14ac:dyDescent="0.2">
      <c r="A50" s="199">
        <v>48</v>
      </c>
      <c r="B50" s="161" t="s">
        <v>289</v>
      </c>
      <c r="C50" s="175" t="s">
        <v>121</v>
      </c>
      <c r="D50" s="162" t="s">
        <v>22</v>
      </c>
      <c r="E50" s="206">
        <v>2</v>
      </c>
      <c r="F50" s="160" t="s">
        <v>23</v>
      </c>
      <c r="G50" s="203"/>
      <c r="H50" s="203"/>
      <c r="I50" s="203"/>
      <c r="J50" s="203"/>
      <c r="K50" s="203"/>
    </row>
    <row r="51" spans="1:11" ht="60" customHeight="1" x14ac:dyDescent="0.2">
      <c r="A51" s="198">
        <v>49</v>
      </c>
      <c r="B51" s="161" t="s">
        <v>122</v>
      </c>
      <c r="C51" s="161" t="s">
        <v>123</v>
      </c>
      <c r="D51" s="162" t="s">
        <v>22</v>
      </c>
      <c r="E51" s="206">
        <v>3</v>
      </c>
      <c r="F51" s="160" t="s">
        <v>23</v>
      </c>
      <c r="G51" s="203"/>
      <c r="H51" s="203"/>
      <c r="I51" s="203"/>
      <c r="J51" s="203"/>
      <c r="K51" s="203"/>
    </row>
    <row r="52" spans="1:11" ht="60" customHeight="1" x14ac:dyDescent="0.2">
      <c r="A52" s="198">
        <v>50</v>
      </c>
      <c r="B52" s="161" t="s">
        <v>124</v>
      </c>
      <c r="C52" s="161" t="s">
        <v>125</v>
      </c>
      <c r="D52" s="162" t="s">
        <v>22</v>
      </c>
      <c r="E52" s="206">
        <v>2</v>
      </c>
      <c r="F52" s="160" t="s">
        <v>23</v>
      </c>
      <c r="G52" s="203"/>
      <c r="H52" s="203"/>
      <c r="I52" s="203"/>
      <c r="J52" s="203"/>
      <c r="K52" s="203"/>
    </row>
    <row r="53" spans="1:11" ht="60" customHeight="1" x14ac:dyDescent="0.2">
      <c r="A53" s="199">
        <v>51</v>
      </c>
      <c r="B53" s="161" t="s">
        <v>126</v>
      </c>
      <c r="C53" s="161" t="s">
        <v>127</v>
      </c>
      <c r="D53" s="162" t="s">
        <v>22</v>
      </c>
      <c r="E53" s="206">
        <v>1</v>
      </c>
      <c r="F53" s="160" t="s">
        <v>23</v>
      </c>
      <c r="G53" s="203"/>
      <c r="H53" s="203"/>
      <c r="I53" s="203"/>
      <c r="J53" s="203"/>
      <c r="K53" s="203"/>
    </row>
    <row r="54" spans="1:11" ht="60" customHeight="1" x14ac:dyDescent="0.2">
      <c r="A54" s="198">
        <v>52</v>
      </c>
      <c r="B54" s="161" t="s">
        <v>128</v>
      </c>
      <c r="C54" s="161" t="s">
        <v>129</v>
      </c>
      <c r="D54" s="162" t="s">
        <v>81</v>
      </c>
      <c r="E54" s="206">
        <v>2</v>
      </c>
      <c r="F54" s="160" t="s">
        <v>23</v>
      </c>
      <c r="G54" s="203"/>
      <c r="H54" s="203"/>
      <c r="I54" s="203"/>
      <c r="J54" s="203"/>
      <c r="K54" s="203"/>
    </row>
    <row r="55" spans="1:11" ht="60" customHeight="1" x14ac:dyDescent="0.2">
      <c r="A55" s="198">
        <v>53</v>
      </c>
      <c r="B55" s="161" t="s">
        <v>130</v>
      </c>
      <c r="C55" s="161" t="s">
        <v>131</v>
      </c>
      <c r="D55" s="162" t="s">
        <v>107</v>
      </c>
      <c r="E55" s="206">
        <v>3</v>
      </c>
      <c r="F55" s="160" t="s">
        <v>23</v>
      </c>
      <c r="G55" s="203"/>
      <c r="H55" s="203"/>
      <c r="I55" s="203"/>
      <c r="J55" s="203"/>
      <c r="K55" s="203"/>
    </row>
    <row r="56" spans="1:11" ht="60" customHeight="1" x14ac:dyDescent="0.2">
      <c r="A56" s="199">
        <v>54</v>
      </c>
      <c r="B56" s="161" t="s">
        <v>132</v>
      </c>
      <c r="C56" s="161" t="s">
        <v>133</v>
      </c>
      <c r="D56" s="162" t="s">
        <v>22</v>
      </c>
      <c r="E56" s="206">
        <v>1</v>
      </c>
      <c r="F56" s="160" t="s">
        <v>23</v>
      </c>
      <c r="G56" s="203"/>
      <c r="H56" s="203"/>
      <c r="I56" s="203"/>
      <c r="J56" s="203"/>
      <c r="K56" s="203"/>
    </row>
    <row r="57" spans="1:11" ht="60" customHeight="1" x14ac:dyDescent="0.2">
      <c r="A57" s="198">
        <v>55</v>
      </c>
      <c r="B57" s="148" t="s">
        <v>135</v>
      </c>
      <c r="C57" s="148" t="s">
        <v>136</v>
      </c>
      <c r="D57" s="149" t="s">
        <v>22</v>
      </c>
      <c r="E57" s="205">
        <v>1</v>
      </c>
      <c r="F57" s="147" t="s">
        <v>31</v>
      </c>
      <c r="G57" s="203"/>
      <c r="H57" s="203"/>
      <c r="I57" s="203"/>
      <c r="J57" s="203"/>
      <c r="K57" s="203"/>
    </row>
    <row r="58" spans="1:11" ht="60" customHeight="1" x14ac:dyDescent="0.2">
      <c r="A58" s="198">
        <v>56</v>
      </c>
      <c r="B58" s="148" t="s">
        <v>307</v>
      </c>
      <c r="C58" s="148" t="s">
        <v>138</v>
      </c>
      <c r="D58" s="149" t="s">
        <v>22</v>
      </c>
      <c r="E58" s="205">
        <v>1</v>
      </c>
      <c r="F58" s="147" t="s">
        <v>31</v>
      </c>
      <c r="G58" s="203"/>
      <c r="H58" s="203"/>
      <c r="I58" s="203"/>
      <c r="J58" s="203"/>
      <c r="K58" s="203"/>
    </row>
    <row r="59" spans="1:11" ht="60" customHeight="1" x14ac:dyDescent="0.2">
      <c r="A59" s="199">
        <v>57</v>
      </c>
      <c r="B59" s="161" t="s">
        <v>233</v>
      </c>
      <c r="C59" s="161" t="s">
        <v>141</v>
      </c>
      <c r="D59" s="162" t="s">
        <v>22</v>
      </c>
      <c r="E59" s="206">
        <v>1</v>
      </c>
      <c r="F59" s="160" t="s">
        <v>31</v>
      </c>
      <c r="G59" s="203"/>
      <c r="H59" s="203"/>
      <c r="I59" s="203"/>
      <c r="J59" s="203"/>
      <c r="K59" s="203"/>
    </row>
    <row r="60" spans="1:11" ht="60" customHeight="1" x14ac:dyDescent="0.2">
      <c r="A60" s="199">
        <v>58</v>
      </c>
      <c r="B60" s="161" t="s">
        <v>143</v>
      </c>
      <c r="C60" s="161" t="s">
        <v>144</v>
      </c>
      <c r="D60" s="162" t="s">
        <v>22</v>
      </c>
      <c r="E60" s="206">
        <v>5</v>
      </c>
      <c r="F60" s="160" t="s">
        <v>31</v>
      </c>
      <c r="G60" s="203"/>
      <c r="H60" s="203"/>
      <c r="I60" s="203"/>
      <c r="J60" s="203"/>
      <c r="K60" s="203"/>
    </row>
    <row r="61" spans="1:11" ht="60" customHeight="1" x14ac:dyDescent="0.2">
      <c r="A61" s="199">
        <v>59</v>
      </c>
      <c r="B61" s="161" t="s">
        <v>246</v>
      </c>
      <c r="C61" s="161" t="s">
        <v>146</v>
      </c>
      <c r="D61" s="162" t="s">
        <v>22</v>
      </c>
      <c r="E61" s="206">
        <v>1</v>
      </c>
      <c r="F61" s="160" t="s">
        <v>31</v>
      </c>
      <c r="G61" s="203"/>
      <c r="H61" s="203"/>
      <c r="I61" s="203"/>
      <c r="J61" s="203"/>
      <c r="K61" s="203"/>
    </row>
    <row r="62" spans="1:11" ht="60" customHeight="1" x14ac:dyDescent="0.2">
      <c r="A62" s="199">
        <v>60</v>
      </c>
      <c r="B62" s="161" t="s">
        <v>147</v>
      </c>
      <c r="C62" s="161" t="s">
        <v>148</v>
      </c>
      <c r="D62" s="162" t="s">
        <v>22</v>
      </c>
      <c r="E62" s="206">
        <v>1</v>
      </c>
      <c r="F62" s="160" t="s">
        <v>31</v>
      </c>
      <c r="G62" s="203"/>
      <c r="H62" s="203"/>
      <c r="I62" s="203"/>
      <c r="J62" s="203"/>
      <c r="K62" s="203"/>
    </row>
    <row r="63" spans="1:11" ht="60" customHeight="1" x14ac:dyDescent="0.2">
      <c r="A63" s="199">
        <v>61</v>
      </c>
      <c r="B63" s="161" t="s">
        <v>149</v>
      </c>
      <c r="C63" s="161" t="s">
        <v>150</v>
      </c>
      <c r="D63" s="162" t="s">
        <v>22</v>
      </c>
      <c r="E63" s="206">
        <v>5</v>
      </c>
      <c r="F63" s="160" t="s">
        <v>31</v>
      </c>
      <c r="G63" s="203"/>
      <c r="H63" s="203"/>
      <c r="I63" s="203"/>
      <c r="J63" s="203"/>
      <c r="K63" s="203"/>
    </row>
    <row r="64" spans="1:11" ht="60" customHeight="1" x14ac:dyDescent="0.2">
      <c r="A64" s="198">
        <v>62</v>
      </c>
      <c r="B64" s="148" t="s">
        <v>226</v>
      </c>
      <c r="C64" s="148" t="s">
        <v>153</v>
      </c>
      <c r="D64" s="149" t="s">
        <v>22</v>
      </c>
      <c r="E64" s="205">
        <v>1</v>
      </c>
      <c r="F64" s="147" t="s">
        <v>31</v>
      </c>
      <c r="G64" s="203"/>
      <c r="H64" s="203"/>
      <c r="I64" s="203"/>
      <c r="J64" s="203"/>
      <c r="K64" s="203"/>
    </row>
    <row r="65" spans="1:11" ht="60" customHeight="1" x14ac:dyDescent="0.2">
      <c r="A65" s="198">
        <v>63</v>
      </c>
      <c r="B65" s="148" t="s">
        <v>227</v>
      </c>
      <c r="C65" s="148" t="s">
        <v>156</v>
      </c>
      <c r="D65" s="149" t="s">
        <v>22</v>
      </c>
      <c r="E65" s="205">
        <v>1</v>
      </c>
      <c r="F65" s="147" t="s">
        <v>31</v>
      </c>
      <c r="G65" s="203"/>
      <c r="H65" s="203"/>
      <c r="I65" s="203"/>
      <c r="J65" s="203"/>
      <c r="K65" s="203"/>
    </row>
    <row r="66" spans="1:11" ht="60" customHeight="1" x14ac:dyDescent="0.2">
      <c r="A66" s="198">
        <v>64</v>
      </c>
      <c r="B66" s="148" t="s">
        <v>228</v>
      </c>
      <c r="C66" s="148" t="s">
        <v>158</v>
      </c>
      <c r="D66" s="149" t="s">
        <v>22</v>
      </c>
      <c r="E66" s="205">
        <v>1</v>
      </c>
      <c r="F66" s="147" t="s">
        <v>31</v>
      </c>
      <c r="G66" s="203"/>
      <c r="H66" s="203"/>
      <c r="I66" s="203"/>
      <c r="J66" s="203"/>
      <c r="K66" s="203"/>
    </row>
    <row r="67" spans="1:11" ht="60" customHeight="1" x14ac:dyDescent="0.2">
      <c r="A67" s="198">
        <v>65</v>
      </c>
      <c r="B67" s="148" t="s">
        <v>159</v>
      </c>
      <c r="C67" s="148" t="s">
        <v>160</v>
      </c>
      <c r="D67" s="149" t="s">
        <v>22</v>
      </c>
      <c r="E67" s="205">
        <v>2</v>
      </c>
      <c r="F67" s="147" t="s">
        <v>23</v>
      </c>
      <c r="G67" s="203"/>
      <c r="H67" s="203"/>
      <c r="I67" s="203"/>
      <c r="J67" s="203"/>
      <c r="K67" s="203"/>
    </row>
    <row r="68" spans="1:11" ht="60" customHeight="1" x14ac:dyDescent="0.2">
      <c r="A68" s="198">
        <v>66</v>
      </c>
      <c r="B68" s="148" t="s">
        <v>161</v>
      </c>
      <c r="C68" s="148" t="s">
        <v>162</v>
      </c>
      <c r="D68" s="149" t="s">
        <v>107</v>
      </c>
      <c r="E68" s="205">
        <v>1</v>
      </c>
      <c r="F68" s="147" t="s">
        <v>23</v>
      </c>
      <c r="G68" s="203"/>
      <c r="H68" s="203"/>
      <c r="I68" s="203"/>
      <c r="J68" s="203"/>
      <c r="K68" s="203"/>
    </row>
    <row r="69" spans="1:11" ht="60" customHeight="1" x14ac:dyDescent="0.2">
      <c r="A69" s="198">
        <v>67</v>
      </c>
      <c r="B69" s="148" t="s">
        <v>164</v>
      </c>
      <c r="C69" s="148" t="s">
        <v>165</v>
      </c>
      <c r="D69" s="149" t="s">
        <v>22</v>
      </c>
      <c r="E69" s="205">
        <v>2</v>
      </c>
      <c r="F69" s="147" t="s">
        <v>23</v>
      </c>
      <c r="G69" s="203"/>
      <c r="H69" s="203"/>
      <c r="I69" s="203"/>
      <c r="J69" s="203"/>
      <c r="K69" s="203"/>
    </row>
    <row r="70" spans="1:11" ht="60" customHeight="1" x14ac:dyDescent="0.2">
      <c r="A70" s="198">
        <v>68</v>
      </c>
      <c r="B70" s="148" t="s">
        <v>167</v>
      </c>
      <c r="C70" s="148" t="s">
        <v>168</v>
      </c>
      <c r="D70" s="149" t="s">
        <v>22</v>
      </c>
      <c r="E70" s="205">
        <v>1</v>
      </c>
      <c r="F70" s="147" t="s">
        <v>31</v>
      </c>
      <c r="G70" s="203"/>
      <c r="H70" s="203"/>
      <c r="I70" s="203"/>
      <c r="J70" s="203"/>
      <c r="K70" s="203"/>
    </row>
    <row r="71" spans="1:11" ht="60" customHeight="1" x14ac:dyDescent="0.2">
      <c r="A71" s="199">
        <v>69</v>
      </c>
      <c r="B71" s="161" t="s">
        <v>170</v>
      </c>
      <c r="C71" s="161" t="s">
        <v>171</v>
      </c>
      <c r="D71" s="162" t="s">
        <v>22</v>
      </c>
      <c r="E71" s="206">
        <v>2</v>
      </c>
      <c r="F71" s="160" t="s">
        <v>23</v>
      </c>
      <c r="G71" s="203"/>
      <c r="H71" s="203"/>
      <c r="I71" s="203"/>
      <c r="J71" s="203"/>
      <c r="K71" s="203"/>
    </row>
    <row r="72" spans="1:11" ht="60" customHeight="1" x14ac:dyDescent="0.2">
      <c r="A72" s="199">
        <v>70</v>
      </c>
      <c r="B72" s="161" t="s">
        <v>279</v>
      </c>
      <c r="C72" s="161" t="s">
        <v>173</v>
      </c>
      <c r="D72" s="162" t="s">
        <v>22</v>
      </c>
      <c r="E72" s="206">
        <v>4</v>
      </c>
      <c r="F72" s="160" t="s">
        <v>23</v>
      </c>
      <c r="G72" s="203"/>
      <c r="H72" s="203"/>
      <c r="I72" s="203"/>
      <c r="J72" s="203"/>
      <c r="K72" s="203"/>
    </row>
    <row r="73" spans="1:11" ht="60" customHeight="1" x14ac:dyDescent="0.2">
      <c r="A73" s="199">
        <v>71</v>
      </c>
      <c r="B73" s="161" t="s">
        <v>174</v>
      </c>
      <c r="C73" s="161" t="s">
        <v>175</v>
      </c>
      <c r="D73" s="162" t="s">
        <v>22</v>
      </c>
      <c r="E73" s="206">
        <v>1</v>
      </c>
      <c r="F73" s="160" t="s">
        <v>23</v>
      </c>
      <c r="G73" s="203"/>
      <c r="H73" s="203"/>
      <c r="I73" s="203"/>
      <c r="J73" s="203"/>
      <c r="K73" s="203"/>
    </row>
    <row r="74" spans="1:11" ht="60" customHeight="1" x14ac:dyDescent="0.2">
      <c r="A74" s="199">
        <v>72</v>
      </c>
      <c r="B74" s="161" t="s">
        <v>230</v>
      </c>
      <c r="C74" s="161" t="s">
        <v>178</v>
      </c>
      <c r="D74" s="162" t="s">
        <v>22</v>
      </c>
      <c r="E74" s="206">
        <v>1</v>
      </c>
      <c r="F74" s="160" t="s">
        <v>23</v>
      </c>
      <c r="G74" s="203"/>
      <c r="H74" s="203"/>
      <c r="I74" s="203"/>
      <c r="J74" s="203"/>
      <c r="K74" s="203"/>
    </row>
    <row r="75" spans="1:11" ht="60" customHeight="1" x14ac:dyDescent="0.2">
      <c r="A75" s="199">
        <v>73</v>
      </c>
      <c r="B75" s="161" t="s">
        <v>179</v>
      </c>
      <c r="C75" s="161" t="s">
        <v>180</v>
      </c>
      <c r="D75" s="162" t="s">
        <v>22</v>
      </c>
      <c r="E75" s="206">
        <v>2</v>
      </c>
      <c r="F75" s="160" t="s">
        <v>23</v>
      </c>
      <c r="G75" s="203"/>
      <c r="H75" s="203"/>
      <c r="I75" s="203"/>
      <c r="J75" s="203"/>
      <c r="K75" s="203"/>
    </row>
    <row r="76" spans="1:11" ht="60" customHeight="1" x14ac:dyDescent="0.2">
      <c r="A76" s="199">
        <v>74</v>
      </c>
      <c r="B76" s="161" t="s">
        <v>181</v>
      </c>
      <c r="C76" s="161" t="s">
        <v>182</v>
      </c>
      <c r="D76" s="162" t="s">
        <v>22</v>
      </c>
      <c r="E76" s="206">
        <v>4</v>
      </c>
      <c r="F76" s="160" t="s">
        <v>23</v>
      </c>
      <c r="G76" s="203"/>
      <c r="H76" s="203"/>
      <c r="I76" s="203"/>
      <c r="J76" s="203"/>
      <c r="K76" s="203"/>
    </row>
    <row r="77" spans="1:11" ht="60" customHeight="1" x14ac:dyDescent="0.2">
      <c r="A77" s="199">
        <v>75</v>
      </c>
      <c r="B77" s="161" t="s">
        <v>183</v>
      </c>
      <c r="C77" s="161" t="s">
        <v>184</v>
      </c>
      <c r="D77" s="162" t="s">
        <v>81</v>
      </c>
      <c r="E77" s="206">
        <v>4</v>
      </c>
      <c r="F77" s="160" t="s">
        <v>23</v>
      </c>
      <c r="G77" s="203"/>
      <c r="H77" s="203"/>
      <c r="I77" s="203"/>
      <c r="J77" s="203"/>
      <c r="K77" s="203"/>
    </row>
    <row r="78" spans="1:11" ht="60" customHeight="1" x14ac:dyDescent="0.2">
      <c r="A78" s="199">
        <v>76</v>
      </c>
      <c r="B78" s="161" t="s">
        <v>276</v>
      </c>
      <c r="C78" s="161" t="s">
        <v>186</v>
      </c>
      <c r="D78" s="162" t="s">
        <v>22</v>
      </c>
      <c r="E78" s="206">
        <v>2</v>
      </c>
      <c r="F78" s="160" t="s">
        <v>23</v>
      </c>
      <c r="G78" s="203"/>
      <c r="H78" s="203"/>
      <c r="I78" s="203"/>
      <c r="J78" s="203"/>
      <c r="K78" s="203"/>
    </row>
    <row r="79" spans="1:11" ht="60" customHeight="1" x14ac:dyDescent="0.2">
      <c r="A79" s="199">
        <v>77</v>
      </c>
      <c r="B79" s="161" t="s">
        <v>187</v>
      </c>
      <c r="C79" s="161" t="s">
        <v>188</v>
      </c>
      <c r="D79" s="162" t="s">
        <v>107</v>
      </c>
      <c r="E79" s="206">
        <v>2</v>
      </c>
      <c r="F79" s="160" t="s">
        <v>23</v>
      </c>
      <c r="G79" s="203"/>
      <c r="H79" s="203"/>
      <c r="I79" s="203"/>
      <c r="J79" s="203"/>
      <c r="K79" s="203"/>
    </row>
    <row r="80" spans="1:11" ht="60" customHeight="1" x14ac:dyDescent="0.2">
      <c r="A80" s="199">
        <v>78</v>
      </c>
      <c r="B80" s="161" t="s">
        <v>189</v>
      </c>
      <c r="C80" s="161" t="s">
        <v>188</v>
      </c>
      <c r="D80" s="162" t="s">
        <v>22</v>
      </c>
      <c r="E80" s="206">
        <v>3</v>
      </c>
      <c r="F80" s="160" t="s">
        <v>23</v>
      </c>
      <c r="G80" s="203"/>
      <c r="H80" s="203"/>
      <c r="I80" s="203"/>
      <c r="J80" s="203"/>
      <c r="K80" s="203"/>
    </row>
    <row r="81" spans="1:11" ht="60" customHeight="1" x14ac:dyDescent="0.2">
      <c r="A81" s="199">
        <v>79</v>
      </c>
      <c r="B81" s="161" t="s">
        <v>190</v>
      </c>
      <c r="C81" s="161" t="s">
        <v>191</v>
      </c>
      <c r="D81" s="162" t="s">
        <v>22</v>
      </c>
      <c r="E81" s="206">
        <v>5</v>
      </c>
      <c r="F81" s="160" t="s">
        <v>23</v>
      </c>
      <c r="G81" s="203"/>
      <c r="H81" s="203"/>
      <c r="I81" s="203"/>
      <c r="J81" s="203"/>
      <c r="K81" s="203"/>
    </row>
    <row r="82" spans="1:11" ht="60" customHeight="1" x14ac:dyDescent="0.2">
      <c r="A82" s="199">
        <v>80</v>
      </c>
      <c r="B82" s="161" t="s">
        <v>192</v>
      </c>
      <c r="C82" s="161" t="s">
        <v>193</v>
      </c>
      <c r="D82" s="162" t="s">
        <v>22</v>
      </c>
      <c r="E82" s="206">
        <v>2</v>
      </c>
      <c r="F82" s="160" t="s">
        <v>23</v>
      </c>
      <c r="G82" s="203"/>
      <c r="H82" s="203"/>
      <c r="I82" s="203"/>
      <c r="J82" s="203"/>
      <c r="K82" s="203"/>
    </row>
    <row r="83" spans="1:11" ht="60" customHeight="1" x14ac:dyDescent="0.2">
      <c r="A83" s="199">
        <v>81</v>
      </c>
      <c r="B83" s="161" t="s">
        <v>194</v>
      </c>
      <c r="C83" s="161" t="s">
        <v>195</v>
      </c>
      <c r="D83" s="162" t="s">
        <v>22</v>
      </c>
      <c r="E83" s="206">
        <v>4</v>
      </c>
      <c r="F83" s="160" t="s">
        <v>23</v>
      </c>
      <c r="G83" s="203"/>
      <c r="H83" s="203"/>
      <c r="I83" s="203"/>
      <c r="J83" s="203"/>
      <c r="K83" s="203"/>
    </row>
    <row r="84" spans="1:11" ht="60" customHeight="1" x14ac:dyDescent="0.2">
      <c r="A84" s="199">
        <v>82</v>
      </c>
      <c r="B84" s="161" t="s">
        <v>229</v>
      </c>
      <c r="C84" s="161" t="s">
        <v>197</v>
      </c>
      <c r="D84" s="162" t="s">
        <v>22</v>
      </c>
      <c r="E84" s="206">
        <v>5</v>
      </c>
      <c r="F84" s="160" t="s">
        <v>23</v>
      </c>
      <c r="G84" s="203"/>
      <c r="H84" s="203"/>
      <c r="I84" s="203"/>
      <c r="J84" s="203"/>
      <c r="K84" s="203"/>
    </row>
    <row r="85" spans="1:11" ht="60" customHeight="1" x14ac:dyDescent="0.2">
      <c r="A85" s="199">
        <v>83</v>
      </c>
      <c r="B85" s="161" t="s">
        <v>198</v>
      </c>
      <c r="C85" s="161" t="s">
        <v>199</v>
      </c>
      <c r="D85" s="162" t="s">
        <v>22</v>
      </c>
      <c r="E85" s="206">
        <v>7</v>
      </c>
      <c r="F85" s="160" t="s">
        <v>23</v>
      </c>
      <c r="G85" s="203"/>
      <c r="H85" s="203"/>
      <c r="I85" s="203"/>
      <c r="J85" s="203"/>
      <c r="K85" s="203"/>
    </row>
    <row r="86" spans="1:11" ht="60" customHeight="1" x14ac:dyDescent="0.2">
      <c r="A86" s="199">
        <v>84</v>
      </c>
      <c r="B86" s="161" t="s">
        <v>201</v>
      </c>
      <c r="C86" s="161" t="s">
        <v>202</v>
      </c>
      <c r="D86" s="162" t="s">
        <v>22</v>
      </c>
      <c r="E86" s="206">
        <v>1</v>
      </c>
      <c r="F86" s="160" t="s">
        <v>31</v>
      </c>
      <c r="G86" s="203"/>
      <c r="H86" s="203"/>
      <c r="I86" s="203"/>
      <c r="J86" s="203"/>
      <c r="K86" s="203"/>
    </row>
    <row r="87" spans="1:11" ht="60" customHeight="1" x14ac:dyDescent="0.2">
      <c r="A87" s="199">
        <v>85</v>
      </c>
      <c r="B87" s="161" t="s">
        <v>203</v>
      </c>
      <c r="C87" s="161" t="s">
        <v>204</v>
      </c>
      <c r="D87" s="162" t="s">
        <v>107</v>
      </c>
      <c r="E87" s="206">
        <v>1</v>
      </c>
      <c r="F87" s="160" t="s">
        <v>23</v>
      </c>
      <c r="G87" s="203"/>
      <c r="H87" s="203"/>
      <c r="I87" s="203"/>
      <c r="J87" s="203"/>
      <c r="K87" s="203"/>
    </row>
    <row r="88" spans="1:11" ht="60" customHeight="1" x14ac:dyDescent="0.2">
      <c r="A88" s="199">
        <v>86</v>
      </c>
      <c r="B88" s="161" t="s">
        <v>312</v>
      </c>
      <c r="C88" s="161" t="s">
        <v>207</v>
      </c>
      <c r="D88" s="162" t="s">
        <v>107</v>
      </c>
      <c r="E88" s="206">
        <v>1</v>
      </c>
      <c r="F88" s="160" t="s">
        <v>23</v>
      </c>
      <c r="G88" s="203"/>
      <c r="H88" s="203"/>
      <c r="I88" s="203"/>
      <c r="J88" s="203"/>
      <c r="K88" s="203"/>
    </row>
    <row r="89" spans="1:11" ht="60" customHeight="1" x14ac:dyDescent="0.2">
      <c r="A89" s="199">
        <v>87</v>
      </c>
      <c r="B89" s="161" t="s">
        <v>209</v>
      </c>
      <c r="C89" s="161" t="s">
        <v>210</v>
      </c>
      <c r="D89" s="162" t="s">
        <v>22</v>
      </c>
      <c r="E89" s="206">
        <v>9</v>
      </c>
      <c r="F89" s="160" t="s">
        <v>23</v>
      </c>
      <c r="G89" s="203"/>
      <c r="H89" s="203"/>
      <c r="I89" s="203"/>
      <c r="J89" s="203"/>
      <c r="K89" s="203"/>
    </row>
    <row r="90" spans="1:11" ht="60" customHeight="1" x14ac:dyDescent="0.2">
      <c r="A90" s="199">
        <v>88</v>
      </c>
      <c r="B90" s="161" t="s">
        <v>212</v>
      </c>
      <c r="C90" s="161" t="s">
        <v>213</v>
      </c>
      <c r="D90" s="162" t="s">
        <v>107</v>
      </c>
      <c r="E90" s="206">
        <v>1</v>
      </c>
      <c r="F90" s="160" t="s">
        <v>23</v>
      </c>
      <c r="G90" s="203"/>
      <c r="H90" s="203"/>
      <c r="I90" s="203"/>
      <c r="J90" s="203"/>
      <c r="K90" s="203"/>
    </row>
    <row r="91" spans="1:11" ht="60" customHeight="1" x14ac:dyDescent="0.2">
      <c r="A91" s="198">
        <v>89</v>
      </c>
      <c r="B91" s="148" t="s">
        <v>214</v>
      </c>
      <c r="C91" s="148" t="s">
        <v>215</v>
      </c>
      <c r="D91" s="149" t="s">
        <v>22</v>
      </c>
      <c r="E91" s="205">
        <v>5</v>
      </c>
      <c r="F91" s="147" t="s">
        <v>23</v>
      </c>
      <c r="G91" s="203"/>
      <c r="H91" s="203"/>
      <c r="I91" s="203"/>
      <c r="J91" s="203"/>
      <c r="K91" s="203"/>
    </row>
    <row r="92" spans="1:11" ht="60" customHeight="1" x14ac:dyDescent="0.2">
      <c r="A92" s="199">
        <v>90</v>
      </c>
      <c r="B92" s="161" t="s">
        <v>231</v>
      </c>
      <c r="C92" s="161" t="s">
        <v>217</v>
      </c>
      <c r="D92" s="162" t="s">
        <v>22</v>
      </c>
      <c r="E92" s="206">
        <v>1</v>
      </c>
      <c r="F92" s="160" t="s">
        <v>23</v>
      </c>
      <c r="G92" s="203"/>
      <c r="H92" s="203"/>
      <c r="I92" s="203"/>
      <c r="J92" s="203"/>
      <c r="K92" s="203"/>
    </row>
    <row r="93" spans="1:11" ht="60" customHeight="1" x14ac:dyDescent="0.2">
      <c r="A93" s="199">
        <v>91</v>
      </c>
      <c r="B93" s="161" t="s">
        <v>232</v>
      </c>
      <c r="C93" s="161" t="s">
        <v>219</v>
      </c>
      <c r="D93" s="162" t="s">
        <v>22</v>
      </c>
      <c r="E93" s="206">
        <v>1</v>
      </c>
      <c r="F93" s="160" t="s">
        <v>23</v>
      </c>
      <c r="G93" s="203"/>
      <c r="H93" s="203"/>
      <c r="I93" s="203"/>
      <c r="J93" s="203"/>
      <c r="K93" s="203"/>
    </row>
    <row r="94" spans="1:11" ht="60" customHeight="1" x14ac:dyDescent="0.2">
      <c r="A94" s="199">
        <v>92</v>
      </c>
      <c r="B94" s="161" t="s">
        <v>220</v>
      </c>
      <c r="C94" s="160" t="s">
        <v>221</v>
      </c>
      <c r="D94" s="162" t="s">
        <v>22</v>
      </c>
      <c r="E94" s="206">
        <v>2</v>
      </c>
      <c r="F94" s="160" t="s">
        <v>23</v>
      </c>
      <c r="G94" s="203"/>
      <c r="H94" s="203"/>
      <c r="I94" s="203"/>
      <c r="J94" s="203"/>
      <c r="K94" s="203"/>
    </row>
    <row r="95" spans="1:11" ht="60" customHeight="1" x14ac:dyDescent="0.2">
      <c r="E95" s="207"/>
    </row>
    <row r="96" spans="1:11" ht="60" customHeight="1" x14ac:dyDescent="0.2">
      <c r="E96" s="207"/>
    </row>
    <row r="97" spans="5:5" ht="60" customHeight="1" x14ac:dyDescent="0.2">
      <c r="E97" s="207"/>
    </row>
    <row r="98" spans="5:5" ht="60" customHeight="1" x14ac:dyDescent="0.2">
      <c r="E98" s="207"/>
    </row>
    <row r="99" spans="5:5" ht="60" customHeight="1" x14ac:dyDescent="0.2">
      <c r="E99" s="207"/>
    </row>
    <row r="100" spans="5:5" ht="60" customHeight="1" x14ac:dyDescent="0.2">
      <c r="E100" s="207"/>
    </row>
    <row r="101" spans="5:5" ht="60" customHeight="1" x14ac:dyDescent="0.2">
      <c r="E101" s="207"/>
    </row>
    <row r="102" spans="5:5" ht="60" customHeight="1" x14ac:dyDescent="0.2">
      <c r="E102" s="207"/>
    </row>
    <row r="103" spans="5:5" ht="60" customHeight="1" x14ac:dyDescent="0.2">
      <c r="E103" s="207"/>
    </row>
    <row r="104" spans="5:5" ht="60" customHeight="1" x14ac:dyDescent="0.2">
      <c r="E104" s="207"/>
    </row>
    <row r="105" spans="5:5" ht="60" customHeight="1" x14ac:dyDescent="0.2">
      <c r="E105" s="207"/>
    </row>
    <row r="106" spans="5:5" ht="60" customHeight="1" x14ac:dyDescent="0.2">
      <c r="E106" s="207"/>
    </row>
    <row r="107" spans="5:5" ht="60" customHeight="1" x14ac:dyDescent="0.2">
      <c r="E107" s="207"/>
    </row>
    <row r="108" spans="5:5" ht="60" customHeight="1" x14ac:dyDescent="0.2">
      <c r="E108" s="207"/>
    </row>
    <row r="109" spans="5:5" ht="60" customHeight="1" x14ac:dyDescent="0.2">
      <c r="E109" s="207"/>
    </row>
    <row r="110" spans="5:5" ht="60" customHeight="1" x14ac:dyDescent="0.2">
      <c r="E110" s="207"/>
    </row>
    <row r="111" spans="5:5" ht="60" customHeight="1" x14ac:dyDescent="0.2">
      <c r="E111" s="207"/>
    </row>
    <row r="112" spans="5:5" ht="60" customHeight="1" x14ac:dyDescent="0.2">
      <c r="E112" s="207"/>
    </row>
    <row r="113" spans="5:5" ht="60" customHeight="1" x14ac:dyDescent="0.2">
      <c r="E113" s="207"/>
    </row>
    <row r="114" spans="5:5" ht="60" customHeight="1" x14ac:dyDescent="0.2">
      <c r="E114" s="207"/>
    </row>
    <row r="115" spans="5:5" ht="60" customHeight="1" x14ac:dyDescent="0.2">
      <c r="E115" s="207"/>
    </row>
    <row r="116" spans="5:5" ht="60" customHeight="1" x14ac:dyDescent="0.2">
      <c r="E116" s="207"/>
    </row>
    <row r="117" spans="5:5" ht="60" customHeight="1" x14ac:dyDescent="0.2">
      <c r="E117" s="207"/>
    </row>
    <row r="118" spans="5:5" ht="60" customHeight="1" x14ac:dyDescent="0.2">
      <c r="E118" s="207"/>
    </row>
  </sheetData>
  <autoFilter ref="A1:F94"/>
  <mergeCells count="10">
    <mergeCell ref="I1:I2"/>
    <mergeCell ref="J1:J2"/>
    <mergeCell ref="K1:K2"/>
    <mergeCell ref="H1:H2"/>
    <mergeCell ref="A1:A2"/>
    <mergeCell ref="B1:B2"/>
    <mergeCell ref="C1:C2"/>
    <mergeCell ref="D1:D2"/>
    <mergeCell ref="E1:E2"/>
    <mergeCell ref="F1:F2"/>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baseColWidth="10" defaultRowHeight="12.75" x14ac:dyDescent="0.2"/>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2</vt:i4>
      </vt:variant>
    </vt:vector>
  </HeadingPairs>
  <TitlesOfParts>
    <vt:vector size="14" baseType="lpstr">
      <vt:lpstr>FICHA TECNICA</vt:lpstr>
      <vt:lpstr>ESTUDI DE MERCADO</vt:lpstr>
      <vt:lpstr>LOTE 1</vt:lpstr>
      <vt:lpstr>LOTE2</vt:lpstr>
      <vt:lpstr>Hoja4</vt:lpstr>
      <vt:lpstr>Hoja1</vt:lpstr>
      <vt:lpstr>Hoja2</vt:lpstr>
      <vt:lpstr>DISERRA</vt:lpstr>
      <vt:lpstr>UT SOLUCIONES</vt:lpstr>
      <vt:lpstr>NELSON ESPITIA</vt:lpstr>
      <vt:lpstr>SOLICITUD DE COTIZACION</vt:lpstr>
      <vt:lpstr>Hoja3</vt:lpstr>
      <vt:lpstr>'NELSON ESPITIA'!Área_de_impresión</vt:lpstr>
      <vt:lpstr>'NELSON ESPITIA'!Títulos_a_imprimir</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Usuario</dc:creator>
  <cp:lastModifiedBy>T2. EDUARDO FERNEY FUENTES VANEGAS</cp:lastModifiedBy>
  <dcterms:created xsi:type="dcterms:W3CDTF">2025-08-25T21:04:19Z</dcterms:created>
  <dcterms:modified xsi:type="dcterms:W3CDTF">2025-09-22T16:20:05Z</dcterms:modified>
</cp:coreProperties>
</file>