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6"/>
  <workbookPr codeName="ThisWorkbook" defaultThemeVersion="124226"/>
  <xr:revisionPtr revIDLastSave="315" documentId="11_2679F916B020D4694A0283DB2E0BE7209F1EE758" xr6:coauthVersionLast="47" xr6:coauthVersionMax="47" xr10:uidLastSave="{CA658242-192C-4F1E-B5C4-80698C57C564}"/>
  <bookViews>
    <workbookView xWindow="0" yWindow="0" windowWidth="28800" windowHeight="12180" tabRatio="802" xr2:uid="{00000000-000D-0000-FFFF-FFFF00000000}"/>
  </bookViews>
  <sheets>
    <sheet name="NUEVO LEY 2010  2020" sheetId="22" r:id="rId1"/>
  </sheets>
  <definedNames>
    <definedName name="_xlnm.Print_Area" localSheetId="0">'NUEVO LEY 2010  2020'!$A$1:$G$50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8" i="22" l="1"/>
  <c r="U23" i="22"/>
  <c r="U22" i="22"/>
  <c r="U17" i="22"/>
  <c r="U29" i="22" s="1"/>
  <c r="U15" i="22"/>
  <c r="U30" i="22" s="1"/>
  <c r="G29" i="22"/>
  <c r="B11" i="22"/>
  <c r="D50" i="22"/>
  <c r="N48" i="22"/>
  <c r="N47" i="22"/>
  <c r="N49" i="22" s="1"/>
  <c r="P41" i="22"/>
  <c r="L37" i="22"/>
  <c r="M36" i="22"/>
  <c r="L36" i="22"/>
  <c r="M35" i="22"/>
  <c r="L35" i="22"/>
  <c r="M34" i="22"/>
  <c r="L34" i="22"/>
  <c r="O28" i="22"/>
  <c r="N26" i="22"/>
  <c r="O24" i="22"/>
  <c r="O23" i="22"/>
  <c r="T17" i="22"/>
  <c r="S17" i="22"/>
  <c r="O17" i="22"/>
  <c r="O18" i="22" s="1"/>
  <c r="S16" i="22"/>
  <c r="L16" i="22"/>
  <c r="S15" i="22"/>
  <c r="S18" i="22" s="1"/>
  <c r="Q13" i="22"/>
  <c r="R13" i="22" s="1"/>
  <c r="Q12" i="22"/>
  <c r="R12" i="22" s="1"/>
  <c r="R14" i="22" s="1"/>
  <c r="N11" i="22"/>
  <c r="J9" i="22"/>
  <c r="J8" i="22"/>
  <c r="R17" i="22" l="1"/>
  <c r="R16" i="22"/>
  <c r="T16" i="22" s="1"/>
  <c r="R15" i="22"/>
  <c r="R18" i="22" s="1"/>
  <c r="G30" i="22" l="1"/>
  <c r="J7" i="22"/>
  <c r="M26" i="22" l="1"/>
  <c r="J10" i="22"/>
  <c r="K12" i="22" s="1"/>
  <c r="K13" i="22" l="1"/>
  <c r="L12" i="22"/>
  <c r="K17" i="22" l="1"/>
  <c r="K15" i="22"/>
  <c r="N40" i="22" s="1"/>
  <c r="P40" i="22" s="1"/>
  <c r="K14" i="22"/>
  <c r="N39" i="22" l="1"/>
  <c r="P39" i="22" s="1"/>
  <c r="P42" i="22" s="1"/>
  <c r="K18" i="22"/>
  <c r="L25" i="22" l="1"/>
  <c r="K25" i="22"/>
  <c r="L20" i="22"/>
  <c r="K26" i="22" l="1"/>
  <c r="K28" i="22" l="1"/>
  <c r="K27" i="22"/>
  <c r="K30" i="22" l="1"/>
  <c r="K32" i="2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Hernan Garcia Silva</author>
  </authors>
  <commentList>
    <comment ref="K19" authorId="0" shapeId="0" xr:uid="{00000000-0006-0000-0000-000001000000}">
      <text>
        <r>
          <rPr>
            <b/>
            <sz val="9"/>
            <rFont val="Tahoma"/>
            <charset val="134"/>
          </rPr>
          <t>Hernan Garcia Silva:</t>
        </r>
        <r>
          <rPr>
            <sz val="9"/>
            <rFont val="Tahoma"/>
            <charset val="134"/>
          </rPr>
          <t xml:space="preserve">
EL 10% DEL ING. BRUTO O HASTA 16 UVT 
</t>
        </r>
      </text>
    </comment>
    <comment ref="K23" authorId="0" shapeId="0" xr:uid="{00000000-0006-0000-0000-000002000000}">
      <text>
        <r>
          <rPr>
            <b/>
            <sz val="9"/>
            <rFont val="Tahoma"/>
            <charset val="134"/>
          </rPr>
          <t>Hernan Garcia Silva:</t>
        </r>
        <r>
          <rPr>
            <sz val="9"/>
            <rFont val="Tahoma"/>
            <charset val="134"/>
          </rPr>
          <t xml:space="preserve">
EL MONTO TOTAL DE LAS DEDUCCIONES  NO PUEDE EXCEDER DEL 15% DE LA RENTA LIQUIDA 
</t>
        </r>
      </text>
    </comment>
    <comment ref="K24" authorId="0" shapeId="0" xr:uid="{00000000-0006-0000-0000-000003000000}">
      <text>
        <r>
          <rPr>
            <b/>
            <sz val="9"/>
            <rFont val="Tahoma"/>
            <charset val="134"/>
          </rPr>
          <t>Hernan Garcia Silva:</t>
        </r>
        <r>
          <rPr>
            <sz val="9"/>
            <rFont val="Tahoma"/>
            <charset val="134"/>
          </rPr>
          <t xml:space="preserve">
EL MONTO TOTAL DE LAS DEDUCCIONES  NO PUEDE EXCEDER DEL 15% DE LA RENTA LIQUIDA 
</t>
        </r>
      </text>
    </comment>
  </commentList>
</comments>
</file>

<file path=xl/sharedStrings.xml><?xml version="1.0" encoding="utf-8"?>
<sst xmlns="http://schemas.openxmlformats.org/spreadsheetml/2006/main" count="129" uniqueCount="116">
  <si>
    <t>FORMATO CAUSACIÓN CONTABLE</t>
  </si>
  <si>
    <t>Código: GCO-GCI-F148
Versión: 03
Vigencia: 21 de diciembre de 2022 
Caso HOLA: 282943</t>
  </si>
  <si>
    <t>FONDO DE DESARROLLO LOCAL DE TUNJUELITO</t>
  </si>
  <si>
    <t>VALOR MENSUAL</t>
  </si>
  <si>
    <t>DIAS</t>
  </si>
  <si>
    <t>VR. ANTES DE IVA</t>
  </si>
  <si>
    <t>REG. COMUN</t>
  </si>
  <si>
    <t xml:space="preserve">CONTRATO No. </t>
  </si>
  <si>
    <t>298-2025</t>
  </si>
  <si>
    <t xml:space="preserve">FECHA: </t>
  </si>
  <si>
    <t>IVA 19%</t>
  </si>
  <si>
    <t>HONORARIOS</t>
  </si>
  <si>
    <t>12-30 ENE</t>
  </si>
  <si>
    <t>CONTRATISTA:</t>
  </si>
  <si>
    <t>CONSORCIO KIOS (75255)</t>
  </si>
  <si>
    <t>NIT. o C.C.</t>
  </si>
  <si>
    <t>901.681.580-1</t>
  </si>
  <si>
    <t>VALOR PAGO</t>
  </si>
  <si>
    <t>01-09 FEB</t>
  </si>
  <si>
    <t>Ojo! impuesto de trimbre</t>
  </si>
  <si>
    <t>PERIODO:</t>
  </si>
  <si>
    <t>DEL</t>
  </si>
  <si>
    <t>08 DE ABRIL  AL 30 DE ABRIL DE 2025</t>
  </si>
  <si>
    <t>PAGO No.</t>
  </si>
  <si>
    <t>PAGO 1</t>
  </si>
  <si>
    <t>DOCUMENTO No.</t>
  </si>
  <si>
    <t>CKS-1228</t>
  </si>
  <si>
    <t>VALOR BRUTO</t>
  </si>
  <si>
    <t>VR. CERTIFICADO</t>
  </si>
  <si>
    <t>IBC</t>
  </si>
  <si>
    <t>PAGO</t>
  </si>
  <si>
    <t>CUENTA CONTABLE CGN</t>
  </si>
  <si>
    <t>CUENTA CONTABLE SDH</t>
  </si>
  <si>
    <t>BASE</t>
  </si>
  <si>
    <t>%</t>
  </si>
  <si>
    <t>VALOR</t>
  </si>
  <si>
    <t>Salud</t>
  </si>
  <si>
    <t>TARIFAS DE ARL</t>
  </si>
  <si>
    <t>5-1-11-49</t>
  </si>
  <si>
    <t>Pensión</t>
  </si>
  <si>
    <t>RIESGO</t>
  </si>
  <si>
    <t>TARIFA</t>
  </si>
  <si>
    <t>SALUD</t>
  </si>
  <si>
    <t>Retefuente Honorarios</t>
  </si>
  <si>
    <t>I</t>
  </si>
  <si>
    <t>PENSION</t>
  </si>
  <si>
    <t>Retefuente Servicios</t>
  </si>
  <si>
    <t>ARL</t>
  </si>
  <si>
    <t>MONTO MAXIMO A DEDUCIR 40% DE LA RENTA LIQUIDA</t>
  </si>
  <si>
    <t>II</t>
  </si>
  <si>
    <t>Retefuente Arrendamientos</t>
  </si>
  <si>
    <t xml:space="preserve">RENTA LIQUIDA </t>
  </si>
  <si>
    <t>III</t>
  </si>
  <si>
    <t>TOTAL</t>
  </si>
  <si>
    <t>Retefuente Compras</t>
  </si>
  <si>
    <t>DEPENDIENTES 32UVT</t>
  </si>
  <si>
    <t>IV</t>
  </si>
  <si>
    <t>Retefuente - C.O.P.</t>
  </si>
  <si>
    <t>AP. VOLUNTARIO PENSION</t>
  </si>
  <si>
    <t>V</t>
  </si>
  <si>
    <t>Retefuente</t>
  </si>
  <si>
    <t>APORTE CUENTA AFC</t>
  </si>
  <si>
    <t>Reteiva</t>
  </si>
  <si>
    <t>MED PREPAGADA - SEGUROS</t>
  </si>
  <si>
    <t>Reteica</t>
  </si>
  <si>
    <t>INTERESES VIVIENDA</t>
  </si>
  <si>
    <t>Contribución Especial</t>
  </si>
  <si>
    <t>TOTAL DEDUCCIONES-RENTA LIQUIDA</t>
  </si>
  <si>
    <t>Amortización Anticipos</t>
  </si>
  <si>
    <t>Deducciones por Renta Exenta</t>
  </si>
  <si>
    <t>Otros Ajustes de Retención</t>
  </si>
  <si>
    <t>Sub total renta de trabajo excenta</t>
  </si>
  <si>
    <t>Impuesto de timbre. Dec. 175 de 2025</t>
  </si>
  <si>
    <t>2-4-36-98</t>
  </si>
  <si>
    <t>TOTAL DEDUCCIONES</t>
  </si>
  <si>
    <t>TOTAL DESCUENTOS</t>
  </si>
  <si>
    <t>NETO A PAGAR</t>
  </si>
  <si>
    <t>2-4-01-01</t>
  </si>
  <si>
    <t>BASE RETEFUENTE</t>
  </si>
  <si>
    <t xml:space="preserve"> </t>
  </si>
  <si>
    <t>UVT</t>
  </si>
  <si>
    <t>Salario Mínimo</t>
  </si>
  <si>
    <t>Base en UVT</t>
  </si>
  <si>
    <t>RANGO VALORES</t>
  </si>
  <si>
    <t>DESDE</t>
  </si>
  <si>
    <t>HASTA</t>
  </si>
  <si>
    <t>RANGO UVT</t>
  </si>
  <si>
    <t>CLEMENTINA PUENTES AYALA</t>
  </si>
  <si>
    <t>(ILB UVT - 95 UVT) * 19%</t>
  </si>
  <si>
    <t>Contador F.D.L.C (E)</t>
  </si>
  <si>
    <t>(ILB UVT - 150 UVT) * 28% + 10 UVT</t>
  </si>
  <si>
    <t>∞</t>
  </si>
  <si>
    <t>(ILB UVT - 150 UVT) * 28% + 69 UVT</t>
  </si>
  <si>
    <t xml:space="preserve">Elaboró: </t>
  </si>
  <si>
    <t>Clementina Puentes</t>
  </si>
  <si>
    <t>Entidad</t>
  </si>
  <si>
    <t>Planilla anexa de pago</t>
  </si>
  <si>
    <t>Diferencia x pagar</t>
  </si>
  <si>
    <t xml:space="preserve">Aprobó: </t>
  </si>
  <si>
    <t xml:space="preserve">Pension </t>
  </si>
  <si>
    <t xml:space="preserve">OBSERVACIONES Y/O NOTAS: </t>
  </si>
  <si>
    <t xml:space="preserve">en adelante </t>
  </si>
  <si>
    <t>TOTAL DIF X PAGAR</t>
  </si>
  <si>
    <t>CUENTA CORRIENTE BBVA 0957035843</t>
  </si>
  <si>
    <t>CONTRATAR LA PRESTACION DE SERVICIO DE ASEO Y CAFETERIA PARA EL FDLT, LA CASA DE CULTYURA Y CASA DE LA PARTICIPACION PARA EL SUMINSTRO INTEGRAL DE ASEO Y CAFETERIA POR PARTE DE LAS ENTIDADES COMPRADORAS CCE126-2023 PARA LA VIGENCIA 2025</t>
  </si>
  <si>
    <t>Base para pago de salud, pensión y ARL</t>
  </si>
  <si>
    <t>Planilla de pago</t>
  </si>
  <si>
    <t>Pago riesgo 3</t>
  </si>
  <si>
    <t>Pago en planillas</t>
  </si>
  <si>
    <t>Aporte obligatorio para salud - 12,5%</t>
  </si>
  <si>
    <t>febrero</t>
  </si>
  <si>
    <t>Aporte obligatorio para pensión - 16%</t>
  </si>
  <si>
    <t>marzo</t>
  </si>
  <si>
    <t>Aporte obligatorio ARL</t>
  </si>
  <si>
    <t>Total</t>
  </si>
  <si>
    <t>TOTAL APORTES SALUD Y PENSIÓN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</si>
</sst>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_ &quot;$&quot;\ * #,##0.00_ ;_ &quot;$&quot;\ * \-#,##0.00_ ;_ &quot;$&quot;\ * &quot;-&quot;??_ ;_ @_ "/>
    <numFmt numFmtId="165" formatCode="_ * #,##0_ ;_ * \-#,##0_ ;_ * &quot;-&quot;_ ;_ @_ "/>
    <numFmt numFmtId="166" formatCode="_ * #,##0.00_ ;_ * \-#,##0.00_ ;_ * &quot;-&quot;??_ ;_ @_ "/>
    <numFmt numFmtId="167" formatCode="_ &quot;$&quot;\ * #,##0_ ;_ &quot;$&quot;\ * \-#,##0_ ;_ &quot;$&quot;\ * &quot;-&quot;??_ ;_ @_ "/>
    <numFmt numFmtId="168" formatCode="0.0%"/>
    <numFmt numFmtId="169" formatCode="0.000%"/>
    <numFmt numFmtId="170" formatCode="_ * #,##0_ ;_ * \-#,##0_ ;_ * &quot;-&quot;??_ ;_ @_ "/>
    <numFmt numFmtId="171" formatCode="_ * #,##0_ ;_ * \-#,##0_ ;_ * \-??_ ;_ @_ "/>
    <numFmt numFmtId="172" formatCode="_(&quot;$&quot;\ * #,##0_);_(&quot;$&quot;\ * \(#,##0\);_(&quot;$&quot;\ * &quot;-&quot;??_);_(@_)"/>
    <numFmt numFmtId="173" formatCode="#,##0\ _€"/>
    <numFmt numFmtId="174" formatCode="#,##0.00\ _€"/>
    <numFmt numFmtId="175" formatCode="_-* #,##0_-;\-* #,##0_-;_-* &quot;-&quot;??_-;_-@_-"/>
  </numFmts>
  <fonts count="29">
    <font>
      <sz val="10"/>
      <name val="Arial"/>
      <charset val="134"/>
    </font>
    <font>
      <sz val="10"/>
      <color theme="0" tint="-4.9989318521683403E-2"/>
      <name val="Arial"/>
      <charset val="134"/>
    </font>
    <font>
      <b/>
      <sz val="10"/>
      <name val="Arial"/>
      <charset val="134"/>
    </font>
    <font>
      <b/>
      <sz val="10"/>
      <color theme="0" tint="-4.9989318521683403E-2"/>
      <name val="Arial"/>
      <charset val="134"/>
    </font>
    <font>
      <b/>
      <sz val="16"/>
      <color theme="1"/>
      <name val="Garamond"/>
      <charset val="134"/>
    </font>
    <font>
      <sz val="10"/>
      <color theme="1"/>
      <name val="Garamond"/>
      <charset val="134"/>
    </font>
    <font>
      <b/>
      <sz val="11"/>
      <name val="Garamond"/>
      <charset val="134"/>
    </font>
    <font>
      <b/>
      <sz val="11"/>
      <color rgb="FF444444"/>
      <name val="Calibri"/>
      <charset val="1"/>
    </font>
    <font>
      <b/>
      <sz val="8"/>
      <name val="Arial"/>
      <charset val="134"/>
    </font>
    <font>
      <b/>
      <sz val="9"/>
      <name val="Arial"/>
      <charset val="134"/>
    </font>
    <font>
      <sz val="11"/>
      <name val="Calibri"/>
      <charset val="134"/>
    </font>
    <font>
      <b/>
      <sz val="11"/>
      <color theme="1"/>
      <name val="Arial"/>
      <charset val="134"/>
    </font>
    <font>
      <sz val="9"/>
      <name val="Arial"/>
      <charset val="134"/>
    </font>
    <font>
      <sz val="11"/>
      <name val="Garamond"/>
      <charset val="134"/>
    </font>
    <font>
      <sz val="9"/>
      <color theme="1"/>
      <name val="Arial"/>
      <charset val="134"/>
    </font>
    <font>
      <b/>
      <sz val="7"/>
      <name val="Arial"/>
      <charset val="134"/>
    </font>
    <font>
      <b/>
      <sz val="9"/>
      <color theme="1"/>
      <name val="Arial"/>
      <charset val="134"/>
    </font>
    <font>
      <sz val="9"/>
      <color indexed="8"/>
      <name val="Arial"/>
      <charset val="134"/>
    </font>
    <font>
      <b/>
      <sz val="9"/>
      <color indexed="8"/>
      <name val="Arial"/>
      <charset val="134"/>
    </font>
    <font>
      <b/>
      <sz val="11"/>
      <color theme="1"/>
      <name val="Calibri"/>
      <charset val="134"/>
      <scheme val="minor"/>
    </font>
    <font>
      <sz val="10"/>
      <name val="Calibri"/>
      <charset val="134"/>
    </font>
    <font>
      <sz val="8"/>
      <name val="Arial"/>
      <charset val="134"/>
    </font>
    <font>
      <sz val="14"/>
      <name val="Arial"/>
      <charset val="134"/>
    </font>
    <font>
      <sz val="11"/>
      <color theme="1"/>
      <name val="Calibri"/>
      <charset val="134"/>
      <scheme val="minor"/>
    </font>
    <font>
      <b/>
      <sz val="10"/>
      <name val="Calibri"/>
      <charset val="134"/>
    </font>
    <font>
      <sz val="14"/>
      <name val="Calibri"/>
      <charset val="134"/>
    </font>
    <font>
      <b/>
      <sz val="9"/>
      <name val="Tahoma"/>
      <charset val="134"/>
    </font>
    <font>
      <sz val="9"/>
      <name val="Tahoma"/>
      <charset val="134"/>
    </font>
    <font>
      <sz val="10"/>
      <name val="Arial"/>
      <charset val="134"/>
    </font>
  </fonts>
  <fills count="11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6" tint="0.39994506668294322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medium">
        <color rgb="FF000000"/>
      </right>
      <top style="double">
        <color auto="1"/>
      </top>
      <bottom style="double">
        <color auto="1"/>
      </bottom>
      <diagonal/>
    </border>
    <border>
      <left style="medium">
        <color rgb="FF000000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rgb="FF000000"/>
      </right>
      <top/>
      <bottom style="thin">
        <color auto="1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/>
      <top/>
      <bottom style="thin">
        <color auto="1"/>
      </bottom>
      <diagonal/>
    </border>
    <border>
      <left/>
      <right style="medium">
        <color rgb="FF000000"/>
      </right>
      <top/>
      <bottom style="thin">
        <color auto="1"/>
      </bottom>
      <diagonal/>
    </border>
    <border>
      <left style="medium">
        <color rgb="FF000000"/>
      </left>
      <right/>
      <top style="thin">
        <color auto="1"/>
      </top>
      <bottom/>
      <diagonal/>
    </border>
    <border>
      <left/>
      <right style="medium">
        <color rgb="FF000000"/>
      </right>
      <top style="thin">
        <color auto="1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1">
    <xf numFmtId="0" fontId="0" fillId="0" borderId="0"/>
    <xf numFmtId="43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4" fontId="28" fillId="0" borderId="0" applyFill="0" applyBorder="0" applyAlignment="0" applyProtection="0"/>
    <xf numFmtId="164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</cellStyleXfs>
  <cellXfs count="26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10" fontId="0" fillId="0" borderId="0" xfId="0" applyNumberFormat="1"/>
    <xf numFmtId="4" fontId="0" fillId="0" borderId="0" xfId="0" applyNumberFormat="1"/>
    <xf numFmtId="3" fontId="0" fillId="0" borderId="0" xfId="0" applyNumberFormat="1"/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4" fontId="2" fillId="2" borderId="2" xfId="0" applyNumberFormat="1" applyFont="1" applyFill="1" applyBorder="1"/>
    <xf numFmtId="0" fontId="2" fillId="0" borderId="2" xfId="0" applyFont="1" applyBorder="1"/>
    <xf numFmtId="0" fontId="2" fillId="2" borderId="2" xfId="0" applyFont="1" applyFill="1" applyBorder="1"/>
    <xf numFmtId="10" fontId="2" fillId="2" borderId="2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10" fontId="0" fillId="0" borderId="2" xfId="0" applyNumberFormat="1" applyBorder="1"/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10" fontId="2" fillId="2" borderId="4" xfId="0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0" fillId="0" borderId="7" xfId="0" applyFont="1" applyBorder="1"/>
    <xf numFmtId="167" fontId="2" fillId="0" borderId="7" xfId="2" applyNumberFormat="1" applyFont="1" applyFill="1" applyBorder="1" applyAlignment="1">
      <alignment horizontal="center" vertical="center"/>
    </xf>
    <xf numFmtId="9" fontId="2" fillId="0" borderId="8" xfId="3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9" fontId="0" fillId="0" borderId="7" xfId="3" applyFont="1" applyBorder="1"/>
    <xf numFmtId="167" fontId="0" fillId="0" borderId="7" xfId="2" applyNumberFormat="1" applyFont="1" applyFill="1" applyBorder="1" applyAlignment="1">
      <alignment horizontal="center" vertical="center"/>
    </xf>
    <xf numFmtId="9" fontId="0" fillId="0" borderId="7" xfId="3" applyFont="1" applyFill="1" applyBorder="1" applyAlignment="1">
      <alignment horizontal="right" vertical="center"/>
    </xf>
    <xf numFmtId="9" fontId="0" fillId="0" borderId="10" xfId="3" applyFont="1" applyFill="1" applyBorder="1" applyAlignment="1">
      <alignment horizontal="right" vertical="center"/>
    </xf>
    <xf numFmtId="167" fontId="0" fillId="0" borderId="0" xfId="0" applyNumberFormat="1"/>
    <xf numFmtId="169" fontId="0" fillId="0" borderId="7" xfId="3" applyNumberFormat="1" applyFont="1" applyFill="1" applyBorder="1" applyAlignment="1">
      <alignment horizontal="right" vertical="center"/>
    </xf>
    <xf numFmtId="165" fontId="0" fillId="0" borderId="0" xfId="4" applyFont="1"/>
    <xf numFmtId="9" fontId="0" fillId="0" borderId="7" xfId="3" applyFont="1" applyFill="1" applyBorder="1" applyAlignment="1">
      <alignment horizontal="center" vertical="center"/>
    </xf>
    <xf numFmtId="9" fontId="2" fillId="0" borderId="7" xfId="3" applyFont="1" applyFill="1" applyBorder="1" applyAlignment="1">
      <alignment horizontal="center" vertical="center"/>
    </xf>
    <xf numFmtId="9" fontId="2" fillId="0" borderId="10" xfId="3" applyFont="1" applyFill="1" applyBorder="1" applyAlignment="1">
      <alignment horizontal="center" vertical="center"/>
    </xf>
    <xf numFmtId="167" fontId="2" fillId="0" borderId="12" xfId="0" applyNumberFormat="1" applyFont="1" applyBorder="1" applyAlignment="1">
      <alignment horizontal="center" vertical="center"/>
    </xf>
    <xf numFmtId="9" fontId="2" fillId="0" borderId="12" xfId="3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10" fontId="2" fillId="2" borderId="6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10" fontId="2" fillId="2" borderId="12" xfId="0" applyNumberFormat="1" applyFont="1" applyFill="1" applyBorder="1" applyAlignment="1">
      <alignment vertical="center"/>
    </xf>
    <xf numFmtId="0" fontId="0" fillId="0" borderId="14" xfId="0" applyBorder="1"/>
    <xf numFmtId="0" fontId="13" fillId="0" borderId="14" xfId="0" applyFont="1" applyBorder="1" applyAlignment="1">
      <alignment horizontal="left"/>
    </xf>
    <xf numFmtId="0" fontId="13" fillId="0" borderId="14" xfId="0" applyFont="1" applyBorder="1" applyAlignment="1">
      <alignment vertical="top" wrapText="1"/>
    </xf>
    <xf numFmtId="4" fontId="13" fillId="0" borderId="14" xfId="0" applyNumberFormat="1" applyFont="1" applyBorder="1"/>
    <xf numFmtId="0" fontId="13" fillId="0" borderId="14" xfId="0" applyFont="1" applyBorder="1"/>
    <xf numFmtId="3" fontId="2" fillId="0" borderId="0" xfId="0" applyNumberFormat="1" applyFont="1"/>
    <xf numFmtId="4" fontId="0" fillId="0" borderId="0" xfId="0" applyNumberFormat="1" applyAlignment="1">
      <alignment horizontal="right"/>
    </xf>
    <xf numFmtId="0" fontId="3" fillId="0" borderId="1" xfId="0" applyFont="1" applyBorder="1"/>
    <xf numFmtId="3" fontId="1" fillId="0" borderId="0" xfId="0" applyNumberFormat="1" applyFont="1"/>
    <xf numFmtId="170" fontId="0" fillId="0" borderId="0" xfId="6" applyNumberFormat="1" applyFont="1"/>
    <xf numFmtId="3" fontId="2" fillId="0" borderId="0" xfId="0" applyNumberFormat="1" applyFont="1" applyAlignment="1">
      <alignment horizontal="center"/>
    </xf>
    <xf numFmtId="0" fontId="0" fillId="0" borderId="7" xfId="0" applyBorder="1"/>
    <xf numFmtId="170" fontId="0" fillId="3" borderId="7" xfId="6" applyNumberFormat="1" applyFont="1" applyFill="1" applyBorder="1"/>
    <xf numFmtId="0" fontId="0" fillId="0" borderId="9" xfId="0" applyBorder="1"/>
    <xf numFmtId="0" fontId="0" fillId="0" borderId="0" xfId="0" applyAlignment="1">
      <alignment horizontal="right"/>
    </xf>
    <xf numFmtId="170" fontId="0" fillId="0" borderId="7" xfId="6" applyNumberFormat="1" applyFont="1" applyFill="1" applyBorder="1"/>
    <xf numFmtId="0" fontId="0" fillId="4" borderId="0" xfId="0" applyFill="1"/>
    <xf numFmtId="170" fontId="2" fillId="0" borderId="7" xfId="6" applyNumberFormat="1" applyFont="1" applyBorder="1"/>
    <xf numFmtId="170" fontId="0" fillId="0" borderId="0" xfId="0" applyNumberFormat="1"/>
    <xf numFmtId="170" fontId="2" fillId="5" borderId="7" xfId="6" applyNumberFormat="1" applyFont="1" applyFill="1" applyBorder="1"/>
    <xf numFmtId="3" fontId="0" fillId="6" borderId="0" xfId="0" applyNumberFormat="1" applyFill="1" applyAlignment="1">
      <alignment horizontal="right"/>
    </xf>
    <xf numFmtId="3" fontId="0" fillId="6" borderId="0" xfId="0" applyNumberFormat="1" applyFill="1"/>
    <xf numFmtId="0" fontId="0" fillId="0" borderId="7" xfId="0" applyBorder="1" applyAlignment="1">
      <alignment horizontal="center"/>
    </xf>
    <xf numFmtId="9" fontId="0" fillId="0" borderId="7" xfId="0" applyNumberFormat="1" applyBorder="1" applyAlignment="1">
      <alignment horizontal="center"/>
    </xf>
    <xf numFmtId="170" fontId="0" fillId="0" borderId="7" xfId="6" applyNumberFormat="1" applyFont="1" applyBorder="1"/>
    <xf numFmtId="0" fontId="14" fillId="0" borderId="7" xfId="0" applyFont="1" applyBorder="1" applyAlignment="1">
      <alignment horizontal="center" vertical="center"/>
    </xf>
    <xf numFmtId="10" fontId="14" fillId="0" borderId="7" xfId="0" applyNumberFormat="1" applyFont="1" applyBorder="1" applyAlignment="1">
      <alignment horizontal="center" vertical="center"/>
    </xf>
    <xf numFmtId="171" fontId="14" fillId="0" borderId="7" xfId="0" applyNumberFormat="1" applyFont="1" applyBorder="1" applyAlignment="1">
      <alignment vertical="center"/>
    </xf>
    <xf numFmtId="165" fontId="0" fillId="0" borderId="0" xfId="4" applyFont="1" applyFill="1" applyAlignment="1">
      <alignment horizontal="center"/>
    </xf>
    <xf numFmtId="9" fontId="14" fillId="0" borderId="7" xfId="0" applyNumberFormat="1" applyFont="1" applyBorder="1" applyAlignment="1">
      <alignment horizontal="center"/>
    </xf>
    <xf numFmtId="165" fontId="0" fillId="0" borderId="0" xfId="4" applyFont="1" applyFill="1"/>
    <xf numFmtId="169" fontId="0" fillId="0" borderId="7" xfId="0" applyNumberFormat="1" applyBorder="1" applyAlignment="1">
      <alignment horizontal="center"/>
    </xf>
    <xf numFmtId="169" fontId="14" fillId="0" borderId="7" xfId="3" applyNumberFormat="1" applyFont="1" applyBorder="1" applyAlignment="1" applyProtection="1">
      <alignment horizontal="center"/>
    </xf>
    <xf numFmtId="3" fontId="14" fillId="0" borderId="7" xfId="6" applyNumberFormat="1" applyFont="1" applyBorder="1" applyAlignment="1" applyProtection="1">
      <alignment vertical="center"/>
    </xf>
    <xf numFmtId="3" fontId="16" fillId="0" borderId="7" xfId="6" applyNumberFormat="1" applyFont="1" applyBorder="1" applyAlignment="1" applyProtection="1">
      <alignment vertical="center"/>
    </xf>
    <xf numFmtId="3" fontId="14" fillId="0" borderId="7" xfId="6" applyNumberFormat="1" applyFont="1" applyFill="1" applyBorder="1" applyAlignment="1" applyProtection="1">
      <alignment vertical="center"/>
    </xf>
    <xf numFmtId="10" fontId="0" fillId="0" borderId="7" xfId="0" applyNumberFormat="1" applyBorder="1" applyAlignment="1">
      <alignment horizontal="center"/>
    </xf>
    <xf numFmtId="172" fontId="17" fillId="0" borderId="7" xfId="2" applyNumberFormat="1" applyFont="1" applyBorder="1" applyProtection="1">
      <protection locked="0"/>
    </xf>
    <xf numFmtId="167" fontId="2" fillId="3" borderId="6" xfId="2" applyNumberFormat="1" applyFont="1" applyFill="1" applyBorder="1" applyAlignment="1">
      <alignment horizontal="center"/>
    </xf>
    <xf numFmtId="171" fontId="0" fillId="0" borderId="0" xfId="0" applyNumberFormat="1"/>
    <xf numFmtId="0" fontId="14" fillId="0" borderId="7" xfId="0" applyFont="1" applyBorder="1"/>
    <xf numFmtId="0" fontId="0" fillId="0" borderId="0" xfId="0" applyAlignment="1">
      <alignment horizontal="center"/>
    </xf>
    <xf numFmtId="172" fontId="18" fillId="0" borderId="7" xfId="2" applyNumberFormat="1" applyFont="1" applyBorder="1" applyProtection="1">
      <protection locked="0"/>
    </xf>
    <xf numFmtId="172" fontId="0" fillId="0" borderId="0" xfId="0" applyNumberFormat="1"/>
    <xf numFmtId="0" fontId="14" fillId="7" borderId="7" xfId="0" applyFont="1" applyFill="1" applyBorder="1"/>
    <xf numFmtId="0" fontId="16" fillId="7" borderId="7" xfId="0" applyFont="1" applyFill="1" applyBorder="1"/>
    <xf numFmtId="171" fontId="2" fillId="7" borderId="7" xfId="0" applyNumberFormat="1" applyFont="1" applyFill="1" applyBorder="1"/>
    <xf numFmtId="3" fontId="0" fillId="0" borderId="0" xfId="3" applyNumberFormat="1" applyFont="1" applyFill="1" applyBorder="1" applyAlignment="1">
      <alignment horizontal="center"/>
    </xf>
    <xf numFmtId="43" fontId="2" fillId="7" borderId="7" xfId="0" applyNumberFormat="1" applyFont="1" applyFill="1" applyBorder="1"/>
    <xf numFmtId="3" fontId="0" fillId="0" borderId="0" xfId="3" applyNumberFormat="1" applyFont="1" applyFill="1" applyAlignment="1">
      <alignment horizontal="center"/>
    </xf>
    <xf numFmtId="171" fontId="19" fillId="8" borderId="7" xfId="0" applyNumberFormat="1" applyFont="1" applyFill="1" applyBorder="1"/>
    <xf numFmtId="167" fontId="2" fillId="3" borderId="7" xfId="0" applyNumberFormat="1" applyFont="1" applyFill="1" applyBorder="1"/>
    <xf numFmtId="3" fontId="20" fillId="0" borderId="0" xfId="9" applyNumberFormat="1" applyFont="1" applyAlignment="1">
      <alignment horizontal="right" wrapText="1"/>
    </xf>
    <xf numFmtId="0" fontId="8" fillId="0" borderId="7" xfId="0" applyFont="1" applyBorder="1" applyAlignment="1">
      <alignment horizontal="center" wrapText="1"/>
    </xf>
    <xf numFmtId="3" fontId="0" fillId="0" borderId="0" xfId="6" applyNumberFormat="1" applyFont="1" applyFill="1"/>
    <xf numFmtId="173" fontId="0" fillId="0" borderId="7" xfId="0" applyNumberFormat="1" applyBorder="1" applyAlignment="1">
      <alignment horizontal="center"/>
    </xf>
    <xf numFmtId="174" fontId="0" fillId="5" borderId="7" xfId="0" applyNumberFormat="1" applyFill="1" applyBorder="1" applyAlignment="1">
      <alignment horizontal="center"/>
    </xf>
    <xf numFmtId="0" fontId="9" fillId="9" borderId="7" xfId="0" applyFont="1" applyFill="1" applyBorder="1" applyAlignment="1">
      <alignment horizontal="center"/>
    </xf>
    <xf numFmtId="171" fontId="9" fillId="9" borderId="7" xfId="6" applyNumberFormat="1" applyFont="1" applyFill="1" applyBorder="1" applyAlignment="1" applyProtection="1">
      <alignment horizontal="center"/>
    </xf>
    <xf numFmtId="0" fontId="9" fillId="10" borderId="7" xfId="0" applyFont="1" applyFill="1" applyBorder="1" applyAlignment="1">
      <alignment horizontal="center" vertical="center"/>
    </xf>
    <xf numFmtId="171" fontId="0" fillId="9" borderId="7" xfId="6" applyNumberFormat="1" applyFont="1" applyFill="1" applyBorder="1" applyProtection="1"/>
    <xf numFmtId="0" fontId="21" fillId="0" borderId="0" xfId="0" applyFont="1"/>
    <xf numFmtId="1" fontId="28" fillId="9" borderId="7" xfId="9" applyNumberFormat="1" applyFill="1" applyBorder="1" applyAlignment="1">
      <alignment horizontal="center" wrapText="1"/>
    </xf>
    <xf numFmtId="3" fontId="28" fillId="9" borderId="7" xfId="9" applyNumberFormat="1" applyFill="1" applyBorder="1" applyAlignment="1">
      <alignment horizontal="center" wrapText="1"/>
    </xf>
    <xf numFmtId="9" fontId="28" fillId="10" borderId="7" xfId="9" applyNumberFormat="1" applyFill="1" applyBorder="1" applyAlignment="1">
      <alignment horizontal="center" wrapText="1"/>
    </xf>
    <xf numFmtId="171" fontId="22" fillId="9" borderId="7" xfId="6" applyNumberFormat="1" applyFont="1" applyFill="1" applyBorder="1" applyAlignment="1" applyProtection="1">
      <alignment horizontal="right"/>
    </xf>
    <xf numFmtId="0" fontId="21" fillId="0" borderId="7" xfId="0" applyFont="1" applyBorder="1"/>
    <xf numFmtId="0" fontId="0" fillId="0" borderId="7" xfId="0" applyBorder="1" applyAlignment="1">
      <alignment wrapText="1"/>
    </xf>
    <xf numFmtId="3" fontId="0" fillId="0" borderId="7" xfId="0" applyNumberFormat="1" applyBorder="1" applyAlignment="1">
      <alignment wrapText="1"/>
    </xf>
    <xf numFmtId="3" fontId="0" fillId="0" borderId="7" xfId="0" applyNumberFormat="1" applyBorder="1"/>
    <xf numFmtId="3" fontId="28" fillId="9" borderId="0" xfId="9" applyNumberFormat="1" applyFill="1" applyAlignment="1">
      <alignment horizontal="center" wrapText="1"/>
    </xf>
    <xf numFmtId="9" fontId="28" fillId="10" borderId="0" xfId="9" applyNumberFormat="1" applyFill="1" applyAlignment="1">
      <alignment horizontal="center" wrapText="1"/>
    </xf>
    <xf numFmtId="0" fontId="2" fillId="0" borderId="7" xfId="0" applyFont="1" applyBorder="1"/>
    <xf numFmtId="165" fontId="2" fillId="0" borderId="7" xfId="4" applyFont="1" applyBorder="1" applyAlignment="1">
      <alignment wrapText="1"/>
    </xf>
    <xf numFmtId="0" fontId="2" fillId="0" borderId="7" xfId="0" applyFont="1" applyBorder="1" applyAlignment="1">
      <alignment wrapText="1"/>
    </xf>
    <xf numFmtId="165" fontId="0" fillId="0" borderId="7" xfId="4" applyFont="1" applyBorder="1"/>
    <xf numFmtId="165" fontId="0" fillId="0" borderId="7" xfId="0" applyNumberFormat="1" applyBorder="1"/>
    <xf numFmtId="165" fontId="2" fillId="0" borderId="7" xfId="0" applyNumberFormat="1" applyFont="1" applyBorder="1"/>
    <xf numFmtId="165" fontId="2" fillId="0" borderId="0" xfId="0" applyNumberFormat="1" applyFont="1"/>
    <xf numFmtId="3" fontId="0" fillId="0" borderId="0" xfId="0" applyNumberFormat="1" applyAlignment="1">
      <alignment horizontal="right"/>
    </xf>
    <xf numFmtId="3" fontId="0" fillId="6" borderId="0" xfId="0" applyNumberFormat="1" applyFill="1" applyAlignment="1">
      <alignment horizontal="center"/>
    </xf>
    <xf numFmtId="3" fontId="2" fillId="6" borderId="0" xfId="0" applyNumberFormat="1" applyFont="1" applyFill="1"/>
    <xf numFmtId="0" fontId="23" fillId="0" borderId="0" xfId="0" applyFont="1"/>
    <xf numFmtId="0" fontId="19" fillId="0" borderId="0" xfId="0" applyFont="1"/>
    <xf numFmtId="3" fontId="24" fillId="6" borderId="0" xfId="0" applyNumberFormat="1" applyFont="1" applyFill="1" applyAlignment="1">
      <alignment horizontal="center"/>
    </xf>
    <xf numFmtId="3" fontId="24" fillId="0" borderId="0" xfId="0" applyNumberFormat="1" applyFont="1" applyAlignment="1">
      <alignment horizontal="center" vertical="center"/>
    </xf>
    <xf numFmtId="3" fontId="24" fillId="6" borderId="0" xfId="6" applyNumberFormat="1" applyFont="1" applyFill="1" applyBorder="1" applyAlignment="1" applyProtection="1">
      <alignment horizontal="center"/>
    </xf>
    <xf numFmtId="3" fontId="24" fillId="0" borderId="0" xfId="0" applyNumberFormat="1" applyFont="1" applyAlignment="1">
      <alignment horizontal="center"/>
    </xf>
    <xf numFmtId="3" fontId="24" fillId="0" borderId="0" xfId="0" applyNumberFormat="1" applyFont="1" applyAlignment="1">
      <alignment horizontal="left"/>
    </xf>
    <xf numFmtId="3" fontId="24" fillId="0" borderId="0" xfId="6" applyNumberFormat="1" applyFont="1" applyFill="1" applyBorder="1" applyAlignment="1" applyProtection="1">
      <alignment horizontal="center"/>
    </xf>
    <xf numFmtId="3" fontId="20" fillId="0" borderId="0" xfId="6" applyNumberFormat="1" applyFont="1" applyFill="1" applyBorder="1" applyProtection="1"/>
    <xf numFmtId="3" fontId="25" fillId="0" borderId="0" xfId="9" applyNumberFormat="1" applyFont="1" applyAlignment="1">
      <alignment horizontal="right" vertical="center" wrapText="1"/>
    </xf>
    <xf numFmtId="3" fontId="25" fillId="0" borderId="0" xfId="6" applyNumberFormat="1" applyFont="1" applyFill="1" applyBorder="1" applyAlignment="1" applyProtection="1">
      <alignment horizontal="right" vertical="center"/>
    </xf>
    <xf numFmtId="43" fontId="0" fillId="0" borderId="0" xfId="1" applyFont="1"/>
    <xf numFmtId="43" fontId="23" fillId="0" borderId="0" xfId="0" applyNumberFormat="1" applyFont="1"/>
    <xf numFmtId="43" fontId="19" fillId="0" borderId="0" xfId="0" applyNumberFormat="1" applyFont="1"/>
    <xf numFmtId="3" fontId="21" fillId="0" borderId="0" xfId="0" applyNumberFormat="1" applyFont="1"/>
    <xf numFmtId="3" fontId="8" fillId="0" borderId="0" xfId="0" applyNumberFormat="1" applyFont="1"/>
    <xf numFmtId="43" fontId="0" fillId="0" borderId="0" xfId="0" applyNumberFormat="1"/>
    <xf numFmtId="175" fontId="0" fillId="0" borderId="0" xfId="1" applyNumberFormat="1" applyFont="1"/>
    <xf numFmtId="0" fontId="3" fillId="0" borderId="2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4" fontId="5" fillId="0" borderId="22" xfId="0" applyNumberFormat="1" applyFont="1" applyBorder="1" applyAlignment="1">
      <alignment horizontal="left" vertical="center" wrapText="1"/>
    </xf>
    <xf numFmtId="0" fontId="3" fillId="0" borderId="21" xfId="0" applyFont="1" applyBorder="1"/>
    <xf numFmtId="0" fontId="3" fillId="0" borderId="0" xfId="0" applyFont="1"/>
    <xf numFmtId="0" fontId="4" fillId="0" borderId="0" xfId="0" applyFont="1" applyAlignment="1">
      <alignment vertical="center"/>
    </xf>
    <xf numFmtId="4" fontId="5" fillId="0" borderId="22" xfId="0" applyNumberFormat="1" applyFont="1" applyBorder="1" applyAlignment="1">
      <alignment vertical="center"/>
    </xf>
    <xf numFmtId="0" fontId="2" fillId="0" borderId="22" xfId="0" applyFont="1" applyBorder="1" applyAlignment="1">
      <alignment horizontal="center"/>
    </xf>
    <xf numFmtId="0" fontId="2" fillId="2" borderId="23" xfId="0" applyFont="1" applyFill="1" applyBorder="1"/>
    <xf numFmtId="14" fontId="2" fillId="0" borderId="24" xfId="0" applyNumberFormat="1" applyFont="1" applyBorder="1" applyAlignment="1">
      <alignment horizontal="right"/>
    </xf>
    <xf numFmtId="165" fontId="2" fillId="0" borderId="24" xfId="4" applyFont="1" applyBorder="1" applyAlignment="1">
      <alignment horizontal="center"/>
    </xf>
    <xf numFmtId="0" fontId="2" fillId="0" borderId="23" xfId="0" applyFont="1" applyBorder="1"/>
    <xf numFmtId="4" fontId="2" fillId="2" borderId="26" xfId="0" applyNumberFormat="1" applyFont="1" applyFill="1" applyBorder="1" applyAlignment="1">
      <alignment horizontal="center" vertical="center"/>
    </xf>
    <xf numFmtId="167" fontId="2" fillId="0" borderId="28" xfId="0" applyNumberFormat="1" applyFont="1" applyBorder="1" applyAlignment="1">
      <alignment vertical="center"/>
    </xf>
    <xf numFmtId="167" fontId="0" fillId="0" borderId="29" xfId="0" applyNumberFormat="1" applyBorder="1" applyAlignment="1">
      <alignment vertical="center"/>
    </xf>
    <xf numFmtId="167" fontId="2" fillId="0" borderId="29" xfId="0" applyNumberFormat="1" applyFont="1" applyBorder="1" applyAlignment="1">
      <alignment vertical="center"/>
    </xf>
    <xf numFmtId="165" fontId="2" fillId="2" borderId="28" xfId="4" applyFont="1" applyFill="1" applyBorder="1" applyAlignment="1">
      <alignment vertical="center"/>
    </xf>
    <xf numFmtId="165" fontId="2" fillId="2" borderId="31" xfId="4" applyFont="1" applyFill="1" applyBorder="1" applyAlignment="1">
      <alignment vertical="center"/>
    </xf>
    <xf numFmtId="0" fontId="0" fillId="0" borderId="21" xfId="0" applyBorder="1"/>
    <xf numFmtId="4" fontId="2" fillId="0" borderId="22" xfId="0" applyNumberFormat="1" applyFont="1" applyBorder="1"/>
    <xf numFmtId="4" fontId="0" fillId="0" borderId="22" xfId="0" applyNumberFormat="1" applyBorder="1"/>
    <xf numFmtId="0" fontId="0" fillId="0" borderId="34" xfId="0" applyBorder="1"/>
    <xf numFmtId="0" fontId="11" fillId="0" borderId="0" xfId="0" applyFont="1"/>
    <xf numFmtId="0" fontId="2" fillId="0" borderId="21" xfId="0" applyFont="1" applyBorder="1"/>
    <xf numFmtId="0" fontId="0" fillId="0" borderId="0" xfId="0" applyAlignment="1">
      <alignment horizontal="left"/>
    </xf>
    <xf numFmtId="0" fontId="12" fillId="0" borderId="0" xfId="0" applyFont="1" applyAlignment="1">
      <alignment horizontal="center"/>
    </xf>
    <xf numFmtId="0" fontId="12" fillId="0" borderId="0" xfId="0" applyFont="1"/>
    <xf numFmtId="16" fontId="2" fillId="0" borderId="22" xfId="0" applyNumberFormat="1" applyFont="1" applyBorder="1"/>
    <xf numFmtId="0" fontId="2" fillId="0" borderId="22" xfId="0" applyFont="1" applyBorder="1"/>
    <xf numFmtId="10" fontId="0" fillId="0" borderId="22" xfId="0" applyNumberFormat="1" applyBorder="1"/>
    <xf numFmtId="0" fontId="6" fillId="0" borderId="34" xfId="0" applyFont="1" applyBorder="1"/>
    <xf numFmtId="4" fontId="13" fillId="0" borderId="35" xfId="0" applyNumberFormat="1" applyFont="1" applyBorder="1"/>
    <xf numFmtId="0" fontId="2" fillId="0" borderId="2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3" fillId="0" borderId="0" xfId="0" applyFont="1"/>
    <xf numFmtId="0" fontId="13" fillId="0" borderId="22" xfId="0" applyFont="1" applyBorder="1"/>
    <xf numFmtId="0" fontId="0" fillId="0" borderId="21" xfId="0" applyBorder="1" applyAlignment="1">
      <alignment vertical="center"/>
    </xf>
    <xf numFmtId="0" fontId="0" fillId="0" borderId="0" xfId="0" applyAlignment="1">
      <alignment vertical="center"/>
    </xf>
    <xf numFmtId="4" fontId="13" fillId="0" borderId="22" xfId="0" applyNumberFormat="1" applyFont="1" applyBorder="1"/>
    <xf numFmtId="0" fontId="2" fillId="0" borderId="38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3" fontId="2" fillId="0" borderId="39" xfId="0" applyNumberFormat="1" applyFont="1" applyBorder="1"/>
    <xf numFmtId="0" fontId="13" fillId="0" borderId="39" xfId="0" applyFont="1" applyBorder="1"/>
    <xf numFmtId="0" fontId="13" fillId="0" borderId="40" xfId="0" applyFont="1" applyBorder="1"/>
    <xf numFmtId="168" fontId="0" fillId="0" borderId="0" xfId="0" applyNumberFormat="1"/>
    <xf numFmtId="3" fontId="0" fillId="3" borderId="0" xfId="0" applyNumberFormat="1" applyFill="1"/>
    <xf numFmtId="9" fontId="0" fillId="0" borderId="13" xfId="3" applyFont="1" applyFill="1" applyBorder="1" applyAlignment="1">
      <alignment horizontal="center" vertical="center"/>
    </xf>
    <xf numFmtId="167" fontId="0" fillId="0" borderId="31" xfId="0" applyNumberFormat="1" applyBorder="1" applyAlignment="1">
      <alignment vertical="center"/>
    </xf>
    <xf numFmtId="0" fontId="2" fillId="2" borderId="2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14" fontId="2" fillId="0" borderId="2" xfId="0" applyNumberFormat="1" applyFont="1" applyBorder="1" applyAlignment="1">
      <alignment horizontal="center"/>
    </xf>
    <xf numFmtId="14" fontId="2" fillId="0" borderId="24" xfId="0" applyNumberFormat="1" applyFont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10" fontId="0" fillId="0" borderId="2" xfId="0" applyNumberFormat="1" applyBorder="1" applyAlignment="1">
      <alignment horizontal="center"/>
    </xf>
    <xf numFmtId="10" fontId="0" fillId="0" borderId="24" xfId="0" applyNumberFormat="1" applyBorder="1" applyAlignment="1">
      <alignment horizontal="center"/>
    </xf>
    <xf numFmtId="0" fontId="2" fillId="2" borderId="2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23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4" fillId="0" borderId="7" xfId="0" applyFont="1" applyBorder="1" applyAlignment="1">
      <alignment horizontal="left"/>
    </xf>
    <xf numFmtId="0" fontId="14" fillId="0" borderId="10" xfId="0" applyFont="1" applyBorder="1" applyAlignment="1">
      <alignment horizontal="left"/>
    </xf>
    <xf numFmtId="0" fontId="14" fillId="0" borderId="9" xfId="0" applyFont="1" applyBorder="1" applyAlignment="1">
      <alignment horizontal="left"/>
    </xf>
    <xf numFmtId="0" fontId="16" fillId="0" borderId="10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6" fillId="7" borderId="10" xfId="0" applyFont="1" applyFill="1" applyBorder="1" applyAlignment="1">
      <alignment horizontal="center"/>
    </xf>
    <xf numFmtId="0" fontId="16" fillId="7" borderId="9" xfId="0" applyFont="1" applyFill="1" applyBorder="1" applyAlignment="1">
      <alignment horizontal="center"/>
    </xf>
    <xf numFmtId="0" fontId="9" fillId="9" borderId="7" xfId="0" applyFont="1" applyFill="1" applyBorder="1" applyAlignment="1">
      <alignment horizontal="center"/>
    </xf>
    <xf numFmtId="0" fontId="9" fillId="9" borderId="10" xfId="0" applyFont="1" applyFill="1" applyBorder="1" applyAlignment="1">
      <alignment horizontal="center"/>
    </xf>
    <xf numFmtId="0" fontId="9" fillId="9" borderId="9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4" fontId="5" fillId="0" borderId="20" xfId="0" applyNumberFormat="1" applyFont="1" applyBorder="1" applyAlignment="1">
      <alignment horizontal="left" vertical="center" wrapText="1"/>
    </xf>
    <xf numFmtId="4" fontId="5" fillId="0" borderId="22" xfId="0" applyNumberFormat="1" applyFont="1" applyBorder="1" applyAlignment="1">
      <alignment horizontal="left" vertical="center" wrapText="1"/>
    </xf>
    <xf numFmtId="0" fontId="14" fillId="0" borderId="7" xfId="0" applyFont="1" applyBorder="1" applyAlignment="1">
      <alignment horizontal="center" vertical="center"/>
    </xf>
    <xf numFmtId="0" fontId="15" fillId="3" borderId="16" xfId="0" applyFont="1" applyFill="1" applyBorder="1" applyAlignment="1">
      <alignment horizontal="center" vertical="center" wrapText="1"/>
    </xf>
    <xf numFmtId="0" fontId="15" fillId="3" borderId="17" xfId="0" applyFont="1" applyFill="1" applyBorder="1" applyAlignment="1">
      <alignment horizontal="center" vertical="center" wrapText="1"/>
    </xf>
    <xf numFmtId="0" fontId="13" fillId="0" borderId="36" xfId="0" applyFont="1" applyBorder="1" applyAlignment="1">
      <alignment horizontal="left" wrapText="1"/>
    </xf>
    <xf numFmtId="0" fontId="0" fillId="0" borderId="15" xfId="0" applyBorder="1" applyAlignment="1">
      <alignment wrapText="1"/>
    </xf>
    <xf numFmtId="0" fontId="0" fillId="0" borderId="37" xfId="0" applyBorder="1" applyAlignment="1">
      <alignment wrapText="1"/>
    </xf>
    <xf numFmtId="0" fontId="0" fillId="0" borderId="34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35" xfId="0" applyBorder="1" applyAlignment="1">
      <alignment wrapText="1"/>
    </xf>
    <xf numFmtId="0" fontId="2" fillId="0" borderId="2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3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16" fillId="8" borderId="10" xfId="0" applyFont="1" applyFill="1" applyBorder="1" applyAlignment="1">
      <alignment horizontal="center"/>
    </xf>
    <xf numFmtId="0" fontId="16" fillId="8" borderId="9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33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center"/>
    </xf>
  </cellXfs>
  <cellStyles count="11">
    <cellStyle name="Millares" xfId="1" builtinId="3"/>
    <cellStyle name="Millares [0]" xfId="4" builtinId="6"/>
    <cellStyle name="Millares [0] 2" xfId="5" xr:uid="{00000000-0005-0000-0000-000031000000}"/>
    <cellStyle name="Millares 2 2" xfId="6" xr:uid="{00000000-0005-0000-0000-000032000000}"/>
    <cellStyle name="Moneda" xfId="2" builtinId="4"/>
    <cellStyle name="Moneda 2" xfId="7" xr:uid="{00000000-0005-0000-0000-000033000000}"/>
    <cellStyle name="Moneda 3" xfId="8" xr:uid="{00000000-0005-0000-0000-000034000000}"/>
    <cellStyle name="Normal" xfId="0" builtinId="0"/>
    <cellStyle name="Normal 2" xfId="9" xr:uid="{00000000-0005-0000-0000-000035000000}"/>
    <cellStyle name="Porcentaje" xfId="3" builtinId="5"/>
    <cellStyle name="Porcentaje 2" xfId="10" xr:uid="{00000000-0005-0000-0000-000036000000}"/>
  </cellStyles>
  <dxfs count="1">
    <dxf>
      <fill>
        <patternFill patternType="solid"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285750</xdr:colOff>
      <xdr:row>8</xdr:row>
      <xdr:rowOff>28575</xdr:rowOff>
    </xdr:from>
    <xdr:to>
      <xdr:col>20</xdr:col>
      <xdr:colOff>190500</xdr:colOff>
      <xdr:row>8</xdr:row>
      <xdr:rowOff>161925</xdr:rowOff>
    </xdr:to>
    <xdr:pic>
      <xdr:nvPicPr>
        <xdr:cNvPr id="90247" name="1 Imagen">
          <a:extLst>
            <a:ext uri="{FF2B5EF4-FFF2-40B4-BE49-F238E27FC236}">
              <a16:creationId xmlns:a16="http://schemas.microsoft.com/office/drawing/2014/main" id="{00000000-0008-0000-0000-00008760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429625" y="1695450"/>
          <a:ext cx="1905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304800</xdr:colOff>
          <xdr:row>7</xdr:row>
          <xdr:rowOff>19050</xdr:rowOff>
        </xdr:from>
        <xdr:to>
          <xdr:col>20</xdr:col>
          <xdr:colOff>152400</xdr:colOff>
          <xdr:row>8</xdr:row>
          <xdr:rowOff>38100</xdr:rowOff>
        </xdr:to>
        <xdr:sp macro="" textlink="">
          <xdr:nvSpPr>
            <xdr:cNvPr id="69795" name="Check Box 163" hidden="1">
              <a:extLst>
                <a:ext uri="{63B3BB69-23CF-44E3-9099-C40C66FF867C}">
                  <a14:compatExt spid="_x0000_s69795"/>
                </a:ext>
                <a:ext uri="{FF2B5EF4-FFF2-40B4-BE49-F238E27FC236}">
                  <a16:creationId xmlns:a16="http://schemas.microsoft.com/office/drawing/2014/main" id="{00000000-0008-0000-0000-0000A3100100}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upright="1"/>
            <a:lstStyle/>
            <a:p>
              <a:endParaRPr lang="es-MX" altLang="en-US"/>
            </a:p>
          </xdr:txBody>
        </xdr:sp>
        <xdr:clientData/>
      </xdr:twoCellAnchor>
    </mc:Choice>
    <mc:Fallback/>
  </mc:AlternateContent>
  <xdr:twoCellAnchor editAs="oneCell">
    <xdr:from>
      <xdr:col>0</xdr:col>
      <xdr:colOff>266700</xdr:colOff>
      <xdr:row>0</xdr:row>
      <xdr:rowOff>123825</xdr:rowOff>
    </xdr:from>
    <xdr:to>
      <xdr:col>1</xdr:col>
      <xdr:colOff>625740</xdr:colOff>
      <xdr:row>3</xdr:row>
      <xdr:rowOff>381000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6700" y="123825"/>
          <a:ext cx="1597025" cy="74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ustomProperty" Target="../customProperty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G54"/>
  <sheetViews>
    <sheetView tabSelected="1" view="pageBreakPreview" zoomScaleNormal="100" workbookViewId="0">
      <selection activeCell="Z30" sqref="Z30"/>
    </sheetView>
  </sheetViews>
  <sheetFormatPr defaultColWidth="9.140625" defaultRowHeight="12" customHeight="1"/>
  <cols>
    <col min="1" max="1" width="18.5703125" customWidth="1"/>
    <col min="2" max="2" width="16.7109375" style="2" customWidth="1"/>
    <col min="3" max="3" width="17" customWidth="1"/>
    <col min="4" max="4" width="15.140625" style="4" customWidth="1"/>
    <col min="5" max="5" width="27.140625" style="4" customWidth="1"/>
    <col min="6" max="6" width="10.28515625" style="4" customWidth="1"/>
    <col min="7" max="7" width="27" style="5" customWidth="1"/>
    <col min="8" max="8" width="4.140625" hidden="1" customWidth="1"/>
    <col min="9" max="9" width="18.5703125" hidden="1" customWidth="1"/>
    <col min="10" max="10" width="12.85546875" hidden="1" customWidth="1"/>
    <col min="11" max="11" width="16.42578125" hidden="1" customWidth="1"/>
    <col min="12" max="12" width="12.85546875" hidden="1" customWidth="1"/>
    <col min="13" max="13" width="14.5703125" hidden="1" customWidth="1"/>
    <col min="14" max="14" width="18.42578125" hidden="1" customWidth="1"/>
    <col min="15" max="15" width="16.85546875" hidden="1" customWidth="1"/>
    <col min="16" max="16" width="12.7109375" style="6" hidden="1" customWidth="1"/>
    <col min="17" max="20" width="11.42578125" style="6" hidden="1" customWidth="1"/>
    <col min="21" max="21" width="12.42578125" style="6" customWidth="1"/>
    <col min="22" max="22" width="4" style="6" customWidth="1"/>
    <col min="23" max="23" width="11.42578125" style="6" customWidth="1"/>
    <col min="24" max="24" width="12.140625" style="6" customWidth="1"/>
    <col min="25" max="25" width="14.85546875" style="6" customWidth="1"/>
    <col min="26" max="26" width="14.140625" style="6" customWidth="1"/>
    <col min="27" max="27" width="15.5703125" style="6" customWidth="1"/>
    <col min="28" max="28" width="13.85546875" style="6" customWidth="1"/>
    <col min="29" max="29" width="15.42578125" customWidth="1"/>
    <col min="30" max="30" width="15" customWidth="1"/>
    <col min="31" max="32" width="15.85546875" customWidth="1"/>
    <col min="33" max="260" width="11.42578125" customWidth="1"/>
  </cols>
  <sheetData>
    <row r="1" spans="1:33" s="1" customFormat="1" ht="12.75" customHeight="1">
      <c r="A1" s="248" t="b">
        <v>0</v>
      </c>
      <c r="B1" s="249"/>
      <c r="C1" s="252" t="s">
        <v>0</v>
      </c>
      <c r="D1" s="252"/>
      <c r="E1" s="252"/>
      <c r="F1" s="252"/>
      <c r="G1" s="233" t="s">
        <v>1</v>
      </c>
      <c r="I1" s="7" t="b">
        <v>0</v>
      </c>
      <c r="J1" s="48" t="b">
        <v>1</v>
      </c>
      <c r="K1" s="1" t="b">
        <v>0</v>
      </c>
      <c r="L1" s="1" t="b">
        <v>0</v>
      </c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</row>
    <row r="2" spans="1:33" ht="12.75" customHeight="1">
      <c r="A2" s="250"/>
      <c r="B2" s="251"/>
      <c r="C2" s="253"/>
      <c r="D2" s="253"/>
      <c r="E2" s="253"/>
      <c r="F2" s="253"/>
      <c r="G2" s="234"/>
    </row>
    <row r="3" spans="1:33" ht="12.75" customHeight="1">
      <c r="A3" s="250"/>
      <c r="B3" s="251"/>
      <c r="C3" s="253"/>
      <c r="D3" s="253"/>
      <c r="E3" s="253"/>
      <c r="F3" s="253"/>
      <c r="G3" s="234"/>
      <c r="P3" s="5"/>
    </row>
    <row r="4" spans="1:33" ht="36.75" customHeight="1">
      <c r="A4" s="250"/>
      <c r="B4" s="251"/>
      <c r="C4" s="253"/>
      <c r="D4" s="253"/>
      <c r="E4" s="253"/>
      <c r="F4" s="253"/>
      <c r="G4" s="234"/>
    </row>
    <row r="5" spans="1:33" ht="15" customHeight="1">
      <c r="A5" s="141"/>
      <c r="B5" s="142"/>
      <c r="C5" s="143"/>
      <c r="D5" s="143"/>
      <c r="E5" s="143"/>
      <c r="F5" s="143"/>
      <c r="G5" s="144"/>
      <c r="J5" s="50"/>
    </row>
    <row r="6" spans="1:33" ht="6.75" customHeight="1">
      <c r="A6" s="145"/>
      <c r="B6" s="146"/>
      <c r="C6" s="147"/>
      <c r="D6" s="147"/>
      <c r="E6" s="147"/>
      <c r="F6" s="147"/>
      <c r="G6" s="148"/>
      <c r="O6" s="2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46"/>
    </row>
    <row r="7" spans="1:33" ht="15" customHeight="1">
      <c r="A7" s="190" t="s">
        <v>2</v>
      </c>
      <c r="B7" s="191"/>
      <c r="C7" s="191"/>
      <c r="D7" s="191"/>
      <c r="E7" s="191"/>
      <c r="F7" s="191"/>
      <c r="G7" s="192"/>
      <c r="I7" s="52" t="s">
        <v>3</v>
      </c>
      <c r="J7" s="53">
        <f>+E15</f>
        <v>24640518.9298</v>
      </c>
      <c r="K7" s="54" t="s">
        <v>4</v>
      </c>
      <c r="L7" s="52">
        <v>30</v>
      </c>
      <c r="O7" s="55"/>
      <c r="AC7" s="6"/>
    </row>
    <row r="8" spans="1:33" ht="19.5" customHeight="1">
      <c r="A8" s="193"/>
      <c r="B8" s="194"/>
      <c r="C8" s="194"/>
      <c r="D8" s="194"/>
      <c r="E8" s="194"/>
      <c r="F8" s="194"/>
      <c r="G8" s="195"/>
      <c r="I8" s="52" t="s">
        <v>5</v>
      </c>
      <c r="J8" s="56">
        <f>IF(K1=FALSE,0,((J7/30)*L7)/1.19)</f>
        <v>0</v>
      </c>
      <c r="K8" t="s">
        <v>6</v>
      </c>
      <c r="L8">
        <v>20</v>
      </c>
      <c r="O8" s="55"/>
      <c r="AC8" s="6"/>
    </row>
    <row r="9" spans="1:33" ht="15" customHeight="1">
      <c r="A9" s="150" t="s">
        <v>7</v>
      </c>
      <c r="B9" s="196" t="s">
        <v>8</v>
      </c>
      <c r="C9" s="196"/>
      <c r="D9" s="196"/>
      <c r="E9" s="8"/>
      <c r="F9" s="9" t="s">
        <v>9</v>
      </c>
      <c r="G9" s="151">
        <v>45806</v>
      </c>
      <c r="I9" s="52" t="s">
        <v>10</v>
      </c>
      <c r="J9" s="56">
        <f>IF(K1=TRUE,J8*0.19,0)</f>
        <v>0</v>
      </c>
      <c r="K9" t="s">
        <v>11</v>
      </c>
      <c r="M9" s="57" t="s">
        <v>12</v>
      </c>
      <c r="N9" s="57">
        <v>19</v>
      </c>
      <c r="O9" s="55"/>
      <c r="AC9" s="6"/>
    </row>
    <row r="10" spans="1:33" ht="15" customHeight="1">
      <c r="A10" s="150" t="s">
        <v>13</v>
      </c>
      <c r="B10" s="197" t="s">
        <v>14</v>
      </c>
      <c r="C10" s="197"/>
      <c r="D10" s="197"/>
      <c r="E10" s="197"/>
      <c r="F10" s="9" t="s">
        <v>15</v>
      </c>
      <c r="G10" s="152" t="s">
        <v>16</v>
      </c>
      <c r="I10" s="52" t="s">
        <v>17</v>
      </c>
      <c r="J10" s="58">
        <f>IF(K1=TRUE,J8+J9,J7/30*L7)</f>
        <v>24640518.9298</v>
      </c>
      <c r="K10" s="59"/>
      <c r="M10" s="57" t="s">
        <v>18</v>
      </c>
      <c r="N10" s="57">
        <v>9</v>
      </c>
      <c r="O10" s="55"/>
      <c r="X10" s="187" t="s">
        <v>19</v>
      </c>
      <c r="AC10" s="6"/>
    </row>
    <row r="11" spans="1:33" ht="15" customHeight="1">
      <c r="A11" s="150" t="s">
        <v>20</v>
      </c>
      <c r="B11" s="10">
        <f>+MONTH(G9)</f>
        <v>5</v>
      </c>
      <c r="C11" s="11" t="s">
        <v>21</v>
      </c>
      <c r="D11" s="11"/>
      <c r="E11" s="202" t="s">
        <v>22</v>
      </c>
      <c r="F11" s="202"/>
      <c r="G11" s="203"/>
      <c r="N11">
        <f>SUM(N9:N10)</f>
        <v>28</v>
      </c>
      <c r="O11" s="55"/>
      <c r="AC11" s="6"/>
    </row>
    <row r="12" spans="1:33" ht="15" customHeight="1">
      <c r="A12" s="150" t="s">
        <v>23</v>
      </c>
      <c r="B12" s="198" t="s">
        <v>24</v>
      </c>
      <c r="C12" s="199"/>
      <c r="D12" s="199"/>
      <c r="E12" s="12" t="s">
        <v>25</v>
      </c>
      <c r="F12" s="200" t="s">
        <v>26</v>
      </c>
      <c r="G12" s="201"/>
      <c r="I12" s="204" t="s">
        <v>27</v>
      </c>
      <c r="J12" s="204"/>
      <c r="K12" s="60">
        <f>IF(K1=TRUE,J8,J10)</f>
        <v>24640518.9298</v>
      </c>
      <c r="L12" s="50">
        <f>+K12*40/100</f>
        <v>9856207.57192</v>
      </c>
      <c r="O12" s="61">
        <v>7200000</v>
      </c>
      <c r="P12" s="62">
        <v>10</v>
      </c>
      <c r="Q12" s="62">
        <f>+O12/30*P12</f>
        <v>2400000</v>
      </c>
      <c r="R12" s="62">
        <f>+Q12*40%</f>
        <v>960000</v>
      </c>
      <c r="S12" s="62"/>
      <c r="T12" s="62"/>
      <c r="X12" s="6" t="s">
        <v>28</v>
      </c>
      <c r="Y12" s="46"/>
      <c r="Z12" s="46">
        <v>24640519</v>
      </c>
      <c r="AC12" s="6"/>
    </row>
    <row r="13" spans="1:33" ht="21" customHeight="1">
      <c r="A13" s="153"/>
      <c r="B13" s="205"/>
      <c r="C13" s="205"/>
      <c r="D13" s="13"/>
      <c r="E13" s="14"/>
      <c r="F13" s="206"/>
      <c r="G13" s="207"/>
      <c r="I13" s="63" t="s">
        <v>29</v>
      </c>
      <c r="J13" s="64">
        <v>0.4</v>
      </c>
      <c r="K13" s="65">
        <f>+K12*J13</f>
        <v>9856207.57192</v>
      </c>
      <c r="L13" s="59"/>
      <c r="M13" s="59"/>
      <c r="O13" s="61">
        <v>8400000</v>
      </c>
      <c r="P13" s="62">
        <v>19</v>
      </c>
      <c r="Q13" s="62">
        <f>+O13/30*P13</f>
        <v>5320000</v>
      </c>
      <c r="R13" s="62">
        <f>+Q13*40%</f>
        <v>2128000</v>
      </c>
      <c r="S13" s="62"/>
      <c r="T13" s="62"/>
      <c r="U13" s="120"/>
      <c r="AC13" s="6"/>
    </row>
    <row r="14" spans="1:33" s="2" customFormat="1" ht="55.5" customHeight="1">
      <c r="A14" s="208" t="s">
        <v>30</v>
      </c>
      <c r="B14" s="209"/>
      <c r="C14" s="15" t="s">
        <v>31</v>
      </c>
      <c r="D14" s="15" t="s">
        <v>32</v>
      </c>
      <c r="E14" s="16" t="s">
        <v>33</v>
      </c>
      <c r="F14" s="17" t="s">
        <v>34</v>
      </c>
      <c r="G14" s="154" t="s">
        <v>35</v>
      </c>
      <c r="I14" s="66" t="s">
        <v>36</v>
      </c>
      <c r="J14" s="67">
        <v>0.125</v>
      </c>
      <c r="K14" s="68">
        <f>+K13*J14</f>
        <v>1232025.94649</v>
      </c>
      <c r="L14" s="69"/>
      <c r="M14" s="210" t="s">
        <v>37</v>
      </c>
      <c r="N14" s="211"/>
      <c r="O14" s="61"/>
      <c r="P14" s="62"/>
      <c r="Q14" s="62"/>
      <c r="R14" s="62">
        <f>SUM(R12:R13)</f>
        <v>3088000</v>
      </c>
      <c r="S14" s="121" t="s">
        <v>30</v>
      </c>
      <c r="T14" s="62"/>
      <c r="U14" s="6"/>
      <c r="V14" s="6"/>
      <c r="W14" s="6"/>
      <c r="X14" s="6"/>
      <c r="Y14" s="6"/>
      <c r="Z14" s="6"/>
      <c r="AA14" s="6"/>
      <c r="AB14" s="6"/>
      <c r="AC14" s="6"/>
      <c r="AD14"/>
    </row>
    <row r="15" spans="1:33" ht="15" customHeight="1">
      <c r="A15" s="212" t="s">
        <v>27</v>
      </c>
      <c r="B15" s="213"/>
      <c r="C15" s="18" t="s">
        <v>38</v>
      </c>
      <c r="D15" s="19">
        <v>5111490000</v>
      </c>
      <c r="E15" s="20">
        <v>24640518.9298</v>
      </c>
      <c r="F15" s="21"/>
      <c r="G15" s="155">
        <v>24640518.9298</v>
      </c>
      <c r="I15" s="235" t="s">
        <v>39</v>
      </c>
      <c r="J15" s="70">
        <v>0.16</v>
      </c>
      <c r="K15" s="68">
        <f>+K13*J15</f>
        <v>1576993.2115072</v>
      </c>
      <c r="L15" s="71"/>
      <c r="M15" s="63" t="s">
        <v>40</v>
      </c>
      <c r="N15" s="63" t="s">
        <v>41</v>
      </c>
      <c r="O15" s="61"/>
      <c r="P15" s="62"/>
      <c r="Q15" s="62" t="s">
        <v>42</v>
      </c>
      <c r="R15" s="62">
        <f>+R14*J14</f>
        <v>386000</v>
      </c>
      <c r="S15" s="62">
        <f>26000+360000</f>
        <v>386000</v>
      </c>
      <c r="T15" s="62"/>
      <c r="U15" s="6">
        <f>+G15</f>
        <v>24640518.9298</v>
      </c>
      <c r="X15"/>
      <c r="Y15"/>
      <c r="Z15"/>
      <c r="AA15"/>
      <c r="AB15"/>
    </row>
    <row r="16" spans="1:33" ht="15" customHeight="1">
      <c r="A16" s="214" t="s">
        <v>43</v>
      </c>
      <c r="B16" s="215"/>
      <c r="C16" s="22"/>
      <c r="D16" s="23"/>
      <c r="E16" s="24"/>
      <c r="F16" s="26"/>
      <c r="G16" s="156">
        <v>0</v>
      </c>
      <c r="I16" s="235"/>
      <c r="J16" s="70">
        <v>0.01</v>
      </c>
      <c r="K16" s="68"/>
      <c r="L16" s="71">
        <f>16800*2</f>
        <v>33600</v>
      </c>
      <c r="M16" s="63" t="s">
        <v>44</v>
      </c>
      <c r="N16" s="72">
        <v>5.2199999999999998E-3</v>
      </c>
      <c r="O16" s="62"/>
      <c r="P16" s="62"/>
      <c r="Q16" s="62" t="s">
        <v>45</v>
      </c>
      <c r="R16" s="62">
        <f>+R14*J15</f>
        <v>494080</v>
      </c>
      <c r="S16" s="62">
        <f>64300+460800</f>
        <v>525100</v>
      </c>
      <c r="T16" s="62">
        <f>+R16-S16</f>
        <v>-31020</v>
      </c>
      <c r="X16"/>
      <c r="Y16" s="140"/>
      <c r="AA16" s="140"/>
      <c r="AB16" s="140"/>
      <c r="AC16" s="134"/>
      <c r="AD16" s="134"/>
      <c r="AE16" s="134"/>
      <c r="AF16" s="134"/>
      <c r="AG16" s="140"/>
    </row>
    <row r="17" spans="1:33" ht="15" customHeight="1">
      <c r="A17" s="214" t="s">
        <v>46</v>
      </c>
      <c r="B17" s="215"/>
      <c r="C17" s="22">
        <v>243605</v>
      </c>
      <c r="D17" s="25"/>
      <c r="E17" s="24">
        <v>2202012.42</v>
      </c>
      <c r="F17" s="186">
        <v>0.02</v>
      </c>
      <c r="G17" s="156">
        <v>44040.248399999997</v>
      </c>
      <c r="H17" s="27"/>
      <c r="I17" s="66" t="s">
        <v>47</v>
      </c>
      <c r="J17" s="73">
        <v>5.2199999999999998E-3</v>
      </c>
      <c r="K17" s="74">
        <f>+J17*K13</f>
        <v>51449.4035254224</v>
      </c>
      <c r="L17" s="236" t="s">
        <v>48</v>
      </c>
      <c r="M17" s="63" t="s">
        <v>49</v>
      </c>
      <c r="N17" s="72">
        <v>1.044E-2</v>
      </c>
      <c r="O17" s="62">
        <f>36435*4</f>
        <v>145740</v>
      </c>
      <c r="P17" s="62"/>
      <c r="Q17" s="62" t="s">
        <v>47</v>
      </c>
      <c r="R17" s="62">
        <f>+R14*J17</f>
        <v>16119.359999999999</v>
      </c>
      <c r="S17" s="62">
        <f>1100+15100</f>
        <v>16200</v>
      </c>
      <c r="T17" s="62">
        <f>15500*2</f>
        <v>31000</v>
      </c>
      <c r="U17" s="6">
        <f>+E17*F17</f>
        <v>44040.248399999997</v>
      </c>
      <c r="X17"/>
      <c r="Y17" s="134"/>
      <c r="Z17" s="134"/>
      <c r="AA17" s="134"/>
      <c r="AB17" s="134"/>
      <c r="AC17" s="134"/>
      <c r="AD17" s="134"/>
      <c r="AE17" s="134"/>
      <c r="AF17" s="134"/>
      <c r="AG17" s="140"/>
    </row>
    <row r="18" spans="1:33" ht="15" customHeight="1">
      <c r="A18" s="214" t="s">
        <v>50</v>
      </c>
      <c r="B18" s="215"/>
      <c r="C18" s="24"/>
      <c r="D18" s="25"/>
      <c r="E18" s="24">
        <v>0</v>
      </c>
      <c r="F18" s="26">
        <v>0</v>
      </c>
      <c r="G18" s="156">
        <v>0</v>
      </c>
      <c r="I18" s="216" t="s">
        <v>51</v>
      </c>
      <c r="J18" s="217"/>
      <c r="K18" s="75">
        <f>+K12-K14-K15-K16</f>
        <v>21831499.771802798</v>
      </c>
      <c r="L18" s="237"/>
      <c r="M18" s="63" t="s">
        <v>52</v>
      </c>
      <c r="N18" s="72">
        <v>2.436E-2</v>
      </c>
      <c r="O18" s="62">
        <f>+O17/12</f>
        <v>12145</v>
      </c>
      <c r="P18" s="62"/>
      <c r="Q18" s="62" t="s">
        <v>53</v>
      </c>
      <c r="R18" s="122">
        <f>SUM(R15:R17)</f>
        <v>896199.36</v>
      </c>
      <c r="S18" s="122">
        <f>SUM(S15:S17)</f>
        <v>927300</v>
      </c>
      <c r="T18" s="62"/>
      <c r="X18" s="123"/>
      <c r="Y18" s="135"/>
      <c r="Z18" s="135"/>
      <c r="AA18" s="135"/>
      <c r="AB18" s="135"/>
      <c r="AC18" s="134"/>
      <c r="AD18" s="135"/>
      <c r="AE18" s="134"/>
      <c r="AF18" s="135"/>
    </row>
    <row r="19" spans="1:33" ht="15" customHeight="1">
      <c r="A19" s="214" t="s">
        <v>54</v>
      </c>
      <c r="B19" s="215"/>
      <c r="C19" s="22">
        <v>243608</v>
      </c>
      <c r="D19" s="25"/>
      <c r="E19" s="24">
        <v>0</v>
      </c>
      <c r="F19" s="26">
        <v>0</v>
      </c>
      <c r="G19" s="156">
        <v>0</v>
      </c>
      <c r="I19" s="218" t="s">
        <v>55</v>
      </c>
      <c r="J19" s="219"/>
      <c r="K19" s="76"/>
      <c r="L19" s="237"/>
      <c r="M19" s="63" t="s">
        <v>56</v>
      </c>
      <c r="N19" s="77">
        <v>4.3499999999999997E-2</v>
      </c>
      <c r="O19" s="62"/>
      <c r="P19" s="62"/>
      <c r="Q19" s="62"/>
      <c r="R19" s="122"/>
      <c r="S19" s="122"/>
      <c r="T19" s="62"/>
      <c r="X19" s="124"/>
      <c r="Y19" s="136"/>
      <c r="Z19" s="136"/>
      <c r="AA19" s="136"/>
      <c r="AB19" s="136"/>
      <c r="AC19" s="136"/>
      <c r="AD19" s="136"/>
      <c r="AE19" s="136"/>
      <c r="AF19" s="136"/>
    </row>
    <row r="20" spans="1:33" ht="15" customHeight="1">
      <c r="A20" s="214" t="s">
        <v>57</v>
      </c>
      <c r="B20" s="215"/>
      <c r="C20" s="24"/>
      <c r="D20" s="25"/>
      <c r="E20" s="24">
        <v>0</v>
      </c>
      <c r="F20" s="26"/>
      <c r="G20" s="156">
        <v>0</v>
      </c>
      <c r="I20" s="220" t="s">
        <v>58</v>
      </c>
      <c r="J20" s="220"/>
      <c r="K20" s="78"/>
      <c r="L20" s="79">
        <f>+K18*40%</f>
        <v>8732599.9087211192</v>
      </c>
      <c r="M20" s="63" t="s">
        <v>59</v>
      </c>
      <c r="N20" s="77">
        <v>6.9599999999999995E-2</v>
      </c>
      <c r="O20" s="62"/>
      <c r="P20" s="62"/>
      <c r="Q20" s="62"/>
      <c r="R20" s="125"/>
      <c r="S20" s="125"/>
      <c r="T20" s="125"/>
      <c r="U20" s="126"/>
    </row>
    <row r="21" spans="1:33" ht="15" customHeight="1">
      <c r="A21" s="214" t="s">
        <v>60</v>
      </c>
      <c r="B21" s="215"/>
      <c r="C21" s="24"/>
      <c r="D21" s="25"/>
      <c r="E21" s="24">
        <v>0</v>
      </c>
      <c r="F21" s="26"/>
      <c r="G21" s="156">
        <v>0</v>
      </c>
      <c r="I21" s="221" t="s">
        <v>61</v>
      </c>
      <c r="J21" s="222"/>
      <c r="K21" s="78"/>
      <c r="L21" s="80"/>
      <c r="O21" s="62"/>
      <c r="P21" s="62"/>
      <c r="Q21" s="62"/>
      <c r="R21" s="125"/>
      <c r="S21" s="125"/>
      <c r="T21" s="127"/>
      <c r="U21" s="128"/>
      <c r="V21" s="128"/>
      <c r="W21" s="128"/>
      <c r="X21" s="129"/>
      <c r="Y21" s="137"/>
      <c r="Z21" s="137"/>
      <c r="AA21" s="138"/>
    </row>
    <row r="22" spans="1:33" ht="15" customHeight="1">
      <c r="A22" s="214" t="s">
        <v>62</v>
      </c>
      <c r="B22" s="215"/>
      <c r="C22" s="22">
        <v>243625</v>
      </c>
      <c r="D22" s="28"/>
      <c r="E22" s="24">
        <v>418382.35979999998</v>
      </c>
      <c r="F22" s="25">
        <v>0.15</v>
      </c>
      <c r="G22" s="156">
        <v>62757.353969999996</v>
      </c>
      <c r="H22" s="29"/>
      <c r="I22" s="81" t="s">
        <v>63</v>
      </c>
      <c r="J22" s="81"/>
      <c r="K22" s="29">
        <v>0</v>
      </c>
      <c r="L22" s="80"/>
      <c r="M22" s="29">
        <v>608064</v>
      </c>
      <c r="N22" s="29">
        <v>41770172</v>
      </c>
      <c r="O22" s="6"/>
      <c r="R22" s="93"/>
      <c r="S22" s="93"/>
      <c r="T22" s="93"/>
      <c r="U22" s="6">
        <f>+E22*F22</f>
        <v>62757.353969999996</v>
      </c>
      <c r="V22" s="128"/>
      <c r="W22" s="130"/>
      <c r="X22" s="130"/>
      <c r="Y22" s="137"/>
      <c r="Z22" s="137"/>
      <c r="AA22" s="137"/>
      <c r="AB22" s="51"/>
      <c r="AC22" s="2"/>
      <c r="AE22" s="139"/>
    </row>
    <row r="23" spans="1:33" ht="15" customHeight="1">
      <c r="A23" s="214" t="s">
        <v>64</v>
      </c>
      <c r="B23" s="215"/>
      <c r="C23" s="22">
        <v>243627</v>
      </c>
      <c r="D23" s="30"/>
      <c r="E23" s="24">
        <v>2202012.42</v>
      </c>
      <c r="F23" s="28">
        <v>9.6600000000000002E-3</v>
      </c>
      <c r="G23" s="156">
        <v>21271.4399772</v>
      </c>
      <c r="I23" s="221" t="s">
        <v>65</v>
      </c>
      <c r="J23" s="222"/>
      <c r="K23" s="78"/>
      <c r="L23" s="80"/>
      <c r="M23" s="82"/>
      <c r="N23" s="29">
        <v>29022157.739999998</v>
      </c>
      <c r="O23" s="29">
        <f>+N23/2</f>
        <v>14511078.869999999</v>
      </c>
      <c r="R23" s="93"/>
      <c r="S23" s="93"/>
      <c r="T23" s="93"/>
      <c r="U23" s="6">
        <f>+E23*F23</f>
        <v>21271.4399772</v>
      </c>
      <c r="V23" s="131"/>
      <c r="W23" s="131"/>
      <c r="X23" s="131"/>
      <c r="Y23" s="137"/>
      <c r="Z23" s="137"/>
      <c r="AA23" s="137"/>
      <c r="AD23" s="134"/>
    </row>
    <row r="24" spans="1:33" ht="15" customHeight="1">
      <c r="A24" s="214" t="s">
        <v>64</v>
      </c>
      <c r="B24" s="215"/>
      <c r="C24" s="22"/>
      <c r="D24" s="30"/>
      <c r="E24" s="24"/>
      <c r="F24" s="28"/>
      <c r="G24" s="156">
        <v>0</v>
      </c>
      <c r="I24" s="221" t="s">
        <v>65</v>
      </c>
      <c r="J24" s="222"/>
      <c r="K24" s="78"/>
      <c r="L24" s="80"/>
      <c r="M24" s="82"/>
      <c r="N24" s="29">
        <v>29022157.739999998</v>
      </c>
      <c r="O24" s="29">
        <f>+N24/2</f>
        <v>14511078.869999999</v>
      </c>
      <c r="R24" s="93"/>
      <c r="S24" s="93"/>
      <c r="T24" s="93"/>
      <c r="U24" s="93"/>
      <c r="V24" s="131"/>
      <c r="W24" s="131"/>
      <c r="Y24" s="137"/>
      <c r="Z24" s="137"/>
      <c r="AA24" s="137"/>
      <c r="AD24" s="134"/>
    </row>
    <row r="25" spans="1:33" ht="15" customHeight="1">
      <c r="A25" s="214" t="s">
        <v>66</v>
      </c>
      <c r="B25" s="215"/>
      <c r="C25" s="22"/>
      <c r="D25" s="30"/>
      <c r="E25" s="24"/>
      <c r="F25" s="28"/>
      <c r="G25" s="156"/>
      <c r="I25" s="223" t="s">
        <v>67</v>
      </c>
      <c r="J25" s="224"/>
      <c r="K25" s="83">
        <f>+K18-K22-K23-K19</f>
        <v>21831499.771802798</v>
      </c>
      <c r="L25" s="6">
        <f>+K18*0.15</f>
        <v>3274724.9657704197</v>
      </c>
      <c r="M25" s="84"/>
      <c r="N25" s="29">
        <v>1880200</v>
      </c>
      <c r="O25" s="29"/>
      <c r="T25" s="93"/>
      <c r="U25" s="93"/>
      <c r="V25" s="131"/>
      <c r="W25" s="131"/>
      <c r="X25" s="131"/>
      <c r="Y25" s="137"/>
      <c r="Z25" s="137"/>
      <c r="AA25" s="137"/>
    </row>
    <row r="26" spans="1:33" ht="15" customHeight="1">
      <c r="A26" s="214" t="s">
        <v>68</v>
      </c>
      <c r="B26" s="215"/>
      <c r="C26" s="20"/>
      <c r="D26" s="31"/>
      <c r="E26" s="32"/>
      <c r="F26" s="32"/>
      <c r="G26" s="157"/>
      <c r="I26" s="85" t="s">
        <v>69</v>
      </c>
      <c r="J26" s="86"/>
      <c r="K26" s="87">
        <f>+ROUND(K25*25%,-3)</f>
        <v>5458000</v>
      </c>
      <c r="L26" s="6"/>
      <c r="M26" s="88">
        <f>J7*10%</f>
        <v>2464051.89298</v>
      </c>
      <c r="N26" s="6">
        <f>N25/12</f>
        <v>156683.33333333334</v>
      </c>
      <c r="O26" s="6"/>
      <c r="T26" s="132"/>
      <c r="U26" s="93"/>
      <c r="V26" s="131"/>
      <c r="W26" s="131"/>
      <c r="X26" s="131"/>
      <c r="Y26" s="137"/>
      <c r="Z26" s="137"/>
      <c r="AA26" s="137"/>
    </row>
    <row r="27" spans="1:33" ht="15" customHeight="1">
      <c r="A27" s="214" t="s">
        <v>70</v>
      </c>
      <c r="B27" s="215"/>
      <c r="C27" s="20"/>
      <c r="D27" s="31"/>
      <c r="E27" s="24"/>
      <c r="F27" s="32"/>
      <c r="G27" s="157"/>
      <c r="I27" s="225" t="s">
        <v>71</v>
      </c>
      <c r="J27" s="226"/>
      <c r="K27" s="89">
        <f>+K25-K26</f>
        <v>16373499.771802798</v>
      </c>
      <c r="L27" s="6"/>
      <c r="M27" s="90"/>
      <c r="N27" s="6"/>
      <c r="O27" s="6">
        <v>2796496.72</v>
      </c>
      <c r="V27" s="131"/>
      <c r="W27" s="133"/>
      <c r="X27" s="133"/>
      <c r="Y27" s="137"/>
      <c r="Z27" s="137"/>
      <c r="AA27" s="137"/>
    </row>
    <row r="28" spans="1:33" ht="15" customHeight="1">
      <c r="A28" s="254" t="s">
        <v>72</v>
      </c>
      <c r="B28" s="255"/>
      <c r="C28" s="33" t="s">
        <v>73</v>
      </c>
      <c r="D28" s="34"/>
      <c r="E28" s="24">
        <v>316514876</v>
      </c>
      <c r="F28" s="188">
        <v>0.01</v>
      </c>
      <c r="G28" s="189">
        <v>3165148.7600000002</v>
      </c>
      <c r="I28" s="256" t="s">
        <v>74</v>
      </c>
      <c r="J28" s="257"/>
      <c r="K28" s="91">
        <f>+K19+K20+K21+K22+K23+K26</f>
        <v>5458000</v>
      </c>
      <c r="L28" s="6"/>
      <c r="M28" s="90"/>
      <c r="N28" s="6"/>
      <c r="O28" s="6">
        <f>+O27/12</f>
        <v>233041.39333333334</v>
      </c>
      <c r="U28" s="6">
        <f>+E28*F28</f>
        <v>3165148.7600000002</v>
      </c>
    </row>
    <row r="29" spans="1:33" ht="15" customHeight="1">
      <c r="A29" s="258" t="s">
        <v>75</v>
      </c>
      <c r="B29" s="259"/>
      <c r="C29" s="35"/>
      <c r="D29" s="35"/>
      <c r="E29" s="36"/>
      <c r="F29" s="37"/>
      <c r="G29" s="158">
        <f>SUM(G16:G28)</f>
        <v>3293217.8023472005</v>
      </c>
      <c r="L29" s="6"/>
      <c r="M29" s="6"/>
      <c r="N29" s="6"/>
      <c r="O29" s="6"/>
      <c r="R29" s="46"/>
      <c r="S29" s="46"/>
      <c r="U29" s="6">
        <f>SUM(U16:V28)</f>
        <v>3293217.8023472005</v>
      </c>
    </row>
    <row r="30" spans="1:33" s="3" customFormat="1" ht="15" customHeight="1">
      <c r="A30" s="260" t="s">
        <v>76</v>
      </c>
      <c r="B30" s="261"/>
      <c r="C30" s="38" t="s">
        <v>77</v>
      </c>
      <c r="D30" s="38"/>
      <c r="E30" s="39"/>
      <c r="F30" s="40"/>
      <c r="G30" s="159">
        <f>G15-G29</f>
        <v>21347301.127452798</v>
      </c>
      <c r="I30" s="262" t="s">
        <v>78</v>
      </c>
      <c r="J30" s="262"/>
      <c r="K30" s="92">
        <f>IF(K28&gt;L20,+K18-L20,+K27)</f>
        <v>16373499.771802798</v>
      </c>
      <c r="L30" s="6"/>
      <c r="M30" s="6"/>
      <c r="N30" s="93"/>
      <c r="O30" s="46"/>
      <c r="P30" s="46"/>
      <c r="Q30" s="46"/>
      <c r="R30" s="6"/>
      <c r="S30" s="6"/>
      <c r="T30" s="6"/>
      <c r="U30" s="6">
        <f>+U15-U29</f>
        <v>21347301.127452798</v>
      </c>
      <c r="V30" s="46"/>
      <c r="W30" s="46"/>
      <c r="X30" s="46"/>
      <c r="Y30" s="46"/>
      <c r="Z30" s="46"/>
      <c r="AA30" s="46"/>
      <c r="AB30" s="46"/>
    </row>
    <row r="31" spans="1:33">
      <c r="A31" s="160"/>
      <c r="B31"/>
      <c r="C31" s="2" t="s">
        <v>79</v>
      </c>
      <c r="D31" s="2"/>
      <c r="E31"/>
      <c r="G31" s="161" t="s">
        <v>79</v>
      </c>
      <c r="I31" s="94" t="s">
        <v>80</v>
      </c>
      <c r="J31" s="94" t="s">
        <v>81</v>
      </c>
      <c r="K31" s="94" t="s">
        <v>82</v>
      </c>
      <c r="L31" s="6"/>
      <c r="M31" s="95"/>
      <c r="N31" s="93"/>
      <c r="O31" s="6"/>
    </row>
    <row r="32" spans="1:33">
      <c r="A32" s="160"/>
      <c r="B32"/>
      <c r="C32" s="2"/>
      <c r="D32" s="2"/>
      <c r="E32"/>
      <c r="G32" s="162"/>
      <c r="I32" s="96">
        <v>42412</v>
      </c>
      <c r="J32" s="96">
        <v>1160000</v>
      </c>
      <c r="K32" s="97">
        <f>+K30/I32</f>
        <v>386.05818569751011</v>
      </c>
      <c r="L32" s="227" t="s">
        <v>83</v>
      </c>
      <c r="M32" s="227"/>
    </row>
    <row r="33" spans="1:28">
      <c r="A33" s="160"/>
      <c r="B33"/>
      <c r="C33" s="2"/>
      <c r="D33" s="2"/>
      <c r="E33"/>
      <c r="G33" s="162"/>
      <c r="L33" s="98" t="s">
        <v>84</v>
      </c>
      <c r="M33" s="99" t="s">
        <v>85</v>
      </c>
    </row>
    <row r="34" spans="1:28" ht="13.5">
      <c r="A34" s="163"/>
      <c r="B34" s="41"/>
      <c r="C34" s="2"/>
      <c r="D34" s="2"/>
      <c r="E34" s="164"/>
      <c r="G34" s="162"/>
      <c r="I34" s="228" t="s">
        <v>86</v>
      </c>
      <c r="J34" s="229"/>
      <c r="K34" s="100" t="s">
        <v>34</v>
      </c>
      <c r="L34" s="101">
        <f t="shared" ref="L34:M36" si="0">+I36*$I$32</f>
        <v>0</v>
      </c>
      <c r="M34" s="101">
        <f t="shared" si="0"/>
        <v>4029140</v>
      </c>
    </row>
    <row r="35" spans="1:28">
      <c r="A35" s="165" t="s">
        <v>87</v>
      </c>
      <c r="B35"/>
      <c r="C35" s="2"/>
      <c r="D35" s="2"/>
      <c r="E35" s="166"/>
      <c r="F35" s="167"/>
      <c r="G35" s="149"/>
      <c r="I35" s="98" t="s">
        <v>84</v>
      </c>
      <c r="J35" s="99" t="s">
        <v>85</v>
      </c>
      <c r="K35" s="100"/>
      <c r="L35" s="101">
        <f t="shared" si="0"/>
        <v>4029140</v>
      </c>
      <c r="M35" s="101">
        <f t="shared" si="0"/>
        <v>6361800</v>
      </c>
      <c r="N35" s="102" t="s">
        <v>88</v>
      </c>
    </row>
    <row r="36" spans="1:28">
      <c r="A36" s="165" t="s">
        <v>89</v>
      </c>
      <c r="B36" s="3"/>
      <c r="C36" s="2"/>
      <c r="D36" s="2"/>
      <c r="E36" s="3"/>
      <c r="F36" s="168"/>
      <c r="G36" s="169"/>
      <c r="I36" s="103">
        <v>0</v>
      </c>
      <c r="J36" s="104">
        <v>95</v>
      </c>
      <c r="K36" s="105">
        <v>0</v>
      </c>
      <c r="L36" s="101">
        <f t="shared" si="0"/>
        <v>6361800</v>
      </c>
      <c r="M36" s="101">
        <f t="shared" si="0"/>
        <v>15268320</v>
      </c>
      <c r="N36" s="102" t="s">
        <v>90</v>
      </c>
    </row>
    <row r="37" spans="1:28" ht="20.25" customHeight="1">
      <c r="A37" s="165"/>
      <c r="B37" s="3"/>
      <c r="C37" s="2"/>
      <c r="D37" s="2"/>
      <c r="E37" s="3"/>
      <c r="F37"/>
      <c r="G37" s="170"/>
      <c r="I37" s="104">
        <v>95</v>
      </c>
      <c r="J37" s="104">
        <v>150</v>
      </c>
      <c r="K37" s="105">
        <v>0.19</v>
      </c>
      <c r="L37" s="101">
        <f>+I39*$I$32</f>
        <v>15268320</v>
      </c>
      <c r="M37" s="106" t="s">
        <v>91</v>
      </c>
      <c r="N37" s="102" t="s">
        <v>92</v>
      </c>
    </row>
    <row r="38" spans="1:28" ht="26.25" customHeight="1">
      <c r="A38" s="160" t="s">
        <v>93</v>
      </c>
      <c r="B38" t="s">
        <v>94</v>
      </c>
      <c r="C38" s="2"/>
      <c r="D38" s="2"/>
      <c r="E38"/>
      <c r="G38" s="162"/>
      <c r="I38" s="104">
        <v>150</v>
      </c>
      <c r="J38" s="104">
        <v>360</v>
      </c>
      <c r="K38" s="105">
        <v>0.28000000000000003</v>
      </c>
      <c r="M38" s="52" t="s">
        <v>95</v>
      </c>
      <c r="N38" s="107" t="s">
        <v>30</v>
      </c>
      <c r="O38" s="108" t="s">
        <v>96</v>
      </c>
      <c r="P38" s="109" t="s">
        <v>97</v>
      </c>
    </row>
    <row r="39" spans="1:28" ht="15" customHeight="1">
      <c r="A39" s="160" t="s">
        <v>98</v>
      </c>
      <c r="B39" t="s">
        <v>94</v>
      </c>
      <c r="C39" s="2"/>
      <c r="D39" s="2"/>
      <c r="E39"/>
      <c r="G39" s="162"/>
      <c r="I39" s="104">
        <v>360</v>
      </c>
      <c r="J39" s="104">
        <v>640</v>
      </c>
      <c r="K39" s="105">
        <v>0.33</v>
      </c>
      <c r="M39" s="52" t="s">
        <v>36</v>
      </c>
      <c r="N39" s="68">
        <f>+K14</f>
        <v>1232025.94649</v>
      </c>
      <c r="O39" s="52">
        <v>22000</v>
      </c>
      <c r="P39" s="110">
        <f>+N39-O39</f>
        <v>1210025.94649</v>
      </c>
    </row>
    <row r="40" spans="1:28">
      <c r="A40" s="160"/>
      <c r="B40"/>
      <c r="C40" s="2"/>
      <c r="D40"/>
      <c r="E40"/>
      <c r="F40"/>
      <c r="G40" s="171"/>
      <c r="I40" s="104">
        <v>640</v>
      </c>
      <c r="J40" s="104">
        <v>945</v>
      </c>
      <c r="K40" s="105">
        <v>0.35</v>
      </c>
      <c r="M40" s="52" t="s">
        <v>99</v>
      </c>
      <c r="N40" s="68">
        <f>+K15</f>
        <v>1576993.2115072</v>
      </c>
      <c r="O40" s="52">
        <v>28100</v>
      </c>
      <c r="P40" s="110">
        <f>+N40-O40</f>
        <v>1548893.2115072</v>
      </c>
    </row>
    <row r="41" spans="1:28">
      <c r="A41" s="244" t="s">
        <v>100</v>
      </c>
      <c r="B41" s="245"/>
      <c r="C41" s="245"/>
      <c r="D41" s="245"/>
      <c r="E41" s="245"/>
      <c r="F41" s="245"/>
      <c r="G41" s="246"/>
      <c r="I41" s="104">
        <v>945</v>
      </c>
      <c r="J41" s="104">
        <v>2300</v>
      </c>
      <c r="K41" s="105">
        <v>0.37</v>
      </c>
      <c r="M41" s="52"/>
      <c r="N41" s="74"/>
      <c r="O41" s="52"/>
      <c r="P41" s="110">
        <f>+N41-O41</f>
        <v>0</v>
      </c>
    </row>
    <row r="42" spans="1:28" ht="16.5" customHeight="1">
      <c r="A42" s="247"/>
      <c r="B42" s="245"/>
      <c r="C42" s="245"/>
      <c r="D42" s="245"/>
      <c r="E42" s="245"/>
      <c r="F42" s="245"/>
      <c r="G42" s="246"/>
      <c r="I42" s="104">
        <v>2300</v>
      </c>
      <c r="J42" s="104" t="s">
        <v>101</v>
      </c>
      <c r="K42" s="105">
        <v>0.39</v>
      </c>
      <c r="M42" s="230" t="s">
        <v>102</v>
      </c>
      <c r="N42" s="230"/>
      <c r="O42" s="230"/>
      <c r="P42" s="110">
        <f>SUM(P39:P41)</f>
        <v>2758919.1579972003</v>
      </c>
    </row>
    <row r="43" spans="1:28" ht="16.5" customHeight="1">
      <c r="A43" s="172" t="s">
        <v>103</v>
      </c>
      <c r="B43" s="42"/>
      <c r="C43" s="43"/>
      <c r="D43" s="43"/>
      <c r="E43" s="44"/>
      <c r="F43" s="45"/>
      <c r="G43" s="173"/>
      <c r="I43" s="111"/>
      <c r="J43" s="111"/>
      <c r="K43" s="112"/>
      <c r="M43" s="82"/>
      <c r="N43" s="82"/>
      <c r="O43" s="82"/>
    </row>
    <row r="44" spans="1:28" ht="30" customHeight="1">
      <c r="A44" s="238" t="s">
        <v>104</v>
      </c>
      <c r="B44" s="239"/>
      <c r="C44" s="239"/>
      <c r="D44" s="239"/>
      <c r="E44" s="239"/>
      <c r="F44" s="239"/>
      <c r="G44" s="240"/>
      <c r="M44" s="29"/>
    </row>
    <row r="45" spans="1:28" ht="18" customHeight="1">
      <c r="A45" s="241"/>
      <c r="B45" s="242"/>
      <c r="C45" s="242"/>
      <c r="D45" s="242"/>
      <c r="E45" s="242"/>
      <c r="F45" s="242"/>
      <c r="G45" s="243"/>
      <c r="M45" s="29"/>
    </row>
    <row r="46" spans="1:28" ht="13.5">
      <c r="A46" s="174" t="s">
        <v>105</v>
      </c>
      <c r="B46" s="175"/>
      <c r="C46" s="6"/>
      <c r="D46" s="46"/>
      <c r="E46" s="176"/>
      <c r="F46" s="176"/>
      <c r="G46" s="177"/>
      <c r="K46" s="113" t="s">
        <v>106</v>
      </c>
      <c r="L46" s="114" t="s">
        <v>107</v>
      </c>
      <c r="M46" s="115" t="s">
        <v>108</v>
      </c>
      <c r="N46" s="113" t="s">
        <v>97</v>
      </c>
      <c r="O46" s="6"/>
      <c r="AB46"/>
    </row>
    <row r="47" spans="1:28" ht="13.5">
      <c r="A47" s="178" t="s">
        <v>109</v>
      </c>
      <c r="B47" s="179"/>
      <c r="C47" s="6"/>
      <c r="D47" s="6"/>
      <c r="E47" s="176"/>
      <c r="F47" s="176"/>
      <c r="G47" s="177"/>
      <c r="K47" s="52" t="s">
        <v>110</v>
      </c>
      <c r="L47" s="116">
        <v>5456.64</v>
      </c>
      <c r="M47" s="52">
        <v>3000</v>
      </c>
      <c r="N47" s="117">
        <f>+L47-M47</f>
        <v>2456.6400000000003</v>
      </c>
      <c r="O47" s="6"/>
      <c r="AB47"/>
    </row>
    <row r="48" spans="1:28" ht="13.5">
      <c r="A48" s="178" t="s">
        <v>111</v>
      </c>
      <c r="B48" s="179"/>
      <c r="C48" s="6"/>
      <c r="D48" s="6"/>
      <c r="E48" s="176"/>
      <c r="F48" s="176"/>
      <c r="G48" s="177"/>
      <c r="K48" s="52" t="s">
        <v>112</v>
      </c>
      <c r="L48" s="116">
        <v>40925</v>
      </c>
      <c r="M48" s="52">
        <v>8800</v>
      </c>
      <c r="N48" s="117">
        <f>+L48-M48</f>
        <v>32125</v>
      </c>
      <c r="O48" s="6"/>
      <c r="AB48"/>
    </row>
    <row r="49" spans="1:14" ht="13.5" customHeight="1">
      <c r="A49" s="178" t="s">
        <v>113</v>
      </c>
      <c r="B49" s="179"/>
      <c r="C49" s="6"/>
      <c r="D49" s="6"/>
      <c r="E49" s="176"/>
      <c r="F49" s="176"/>
      <c r="G49" s="180"/>
      <c r="K49" s="231" t="s">
        <v>114</v>
      </c>
      <c r="L49" s="205"/>
      <c r="M49" s="232"/>
      <c r="N49" s="118">
        <f>SUM(N47:N48)</f>
        <v>34581.64</v>
      </c>
    </row>
    <row r="50" spans="1:14" ht="13.5">
      <c r="A50" s="181" t="s">
        <v>115</v>
      </c>
      <c r="B50" s="182"/>
      <c r="C50" s="183"/>
      <c r="D50" s="183">
        <f>+D47+D48</f>
        <v>0</v>
      </c>
      <c r="E50" s="184"/>
      <c r="F50" s="184"/>
      <c r="G50" s="185"/>
      <c r="M50" s="29"/>
    </row>
    <row r="51" spans="1:14">
      <c r="M51" s="29"/>
    </row>
    <row r="52" spans="1:14">
      <c r="G52" s="47"/>
      <c r="M52" s="119"/>
    </row>
    <row r="53" spans="1:14" ht="47.25" customHeight="1">
      <c r="G53" s="47"/>
      <c r="M53" s="29"/>
    </row>
    <row r="54" spans="1:14">
      <c r="G54" s="47"/>
    </row>
  </sheetData>
  <mergeCells count="49">
    <mergeCell ref="L32:M32"/>
    <mergeCell ref="I34:J34"/>
    <mergeCell ref="M42:O42"/>
    <mergeCell ref="K49:M49"/>
    <mergeCell ref="G1:G4"/>
    <mergeCell ref="I15:I16"/>
    <mergeCell ref="L17:L19"/>
    <mergeCell ref="A44:G45"/>
    <mergeCell ref="A41:G42"/>
    <mergeCell ref="A1:B4"/>
    <mergeCell ref="C1:F4"/>
    <mergeCell ref="A28:B28"/>
    <mergeCell ref="I28:J28"/>
    <mergeCell ref="A29:B29"/>
    <mergeCell ref="A30:B30"/>
    <mergeCell ref="I30:J30"/>
    <mergeCell ref="A25:B25"/>
    <mergeCell ref="I25:J25"/>
    <mergeCell ref="A26:B26"/>
    <mergeCell ref="A27:B27"/>
    <mergeCell ref="I27:J27"/>
    <mergeCell ref="A22:B22"/>
    <mergeCell ref="A23:B23"/>
    <mergeCell ref="I23:J23"/>
    <mergeCell ref="A24:B24"/>
    <mergeCell ref="I24:J24"/>
    <mergeCell ref="A19:B19"/>
    <mergeCell ref="I19:J19"/>
    <mergeCell ref="A20:B20"/>
    <mergeCell ref="I20:J20"/>
    <mergeCell ref="A21:B21"/>
    <mergeCell ref="I21:J21"/>
    <mergeCell ref="A15:B15"/>
    <mergeCell ref="A16:B16"/>
    <mergeCell ref="A17:B17"/>
    <mergeCell ref="A18:B18"/>
    <mergeCell ref="I18:J18"/>
    <mergeCell ref="I12:J12"/>
    <mergeCell ref="B13:C13"/>
    <mergeCell ref="F13:G13"/>
    <mergeCell ref="A14:B14"/>
    <mergeCell ref="M14:N14"/>
    <mergeCell ref="A7:G7"/>
    <mergeCell ref="A8:G8"/>
    <mergeCell ref="B9:D9"/>
    <mergeCell ref="B10:E10"/>
    <mergeCell ref="B12:D12"/>
    <mergeCell ref="F12:G12"/>
    <mergeCell ref="E11:G11"/>
  </mergeCells>
  <conditionalFormatting sqref="K37:K43">
    <cfRule type="cellIs" dxfId="0" priority="1" operator="equal">
      <formula>$D$26</formula>
    </cfRule>
  </conditionalFormatting>
  <dataValidations count="5">
    <dataValidation type="list" allowBlank="1" showInputMessage="1" showErrorMessage="1" sqref="J17" xr:uid="{00000000-0002-0000-0000-000000000000}">
      <formula1>$N$16:$N$20</formula1>
    </dataValidation>
    <dataValidation type="custom" allowBlank="1" showInputMessage="1" showErrorMessage="1" errorTitle="ERROR APORTES OBLIGATORIOS Y VOL" error="LOS APORTES OBLIGATORIOS Y VOLUNTARIOS NO DEBEN EXEDER EL 30% DE LOS INGRESOS BRUTOS" sqref="K20" xr:uid="{00000000-0002-0000-0000-000001000000}">
      <formula1>SUM(K14:K21)&lt;=(#REF!*0.3)</formula1>
    </dataValidation>
    <dataValidation type="custom" allowBlank="1" showInputMessage="1" showErrorMessage="1" errorTitle="ERROR APORTES OBLIGATORIOS Y VOL" error="LOS APORTES OBLIGATORIOS Y VOLUNTARIOS NO DEBEN EXEDER EL 30% DE LOS INGRESOS BRUTOS" sqref="K21" xr:uid="{00000000-0002-0000-0000-000002000000}">
      <formula1>SUM(K14:K21)&lt;=(#REF!*0.3)</formula1>
    </dataValidation>
    <dataValidation type="custom" allowBlank="1" showInputMessage="1" showErrorMessage="1" errorTitle="ERROR INTERESES DE VIVIENDA" error="LOS INTERESES DE VIVIENDA NO PUEDEN EXEDER 100 UVT : $ 2.684.100" sqref="K25" xr:uid="{00000000-0002-0000-0000-000003000000}">
      <formula1>K25&lt;100*N2</formula1>
    </dataValidation>
    <dataValidation type="custom" allowBlank="1" showInputMessage="1" showErrorMessage="1" errorTitle="ERROR INTERESES DE VIVIENDA" error="LOS INTERESES DE VIVIENDA NO PUEDEN EXEDER 100 UVT : $ 2.684.100" sqref="K23:K24" xr:uid="{00000000-0002-0000-0000-000004000000}">
      <formula1>K23&lt;100*N1</formula1>
    </dataValidation>
  </dataValidations>
  <pageMargins left="0.7" right="0.7" top="0.75" bottom="0.75" header="0.3" footer="0.3"/>
  <pageSetup scale="71" orientation="portrait"/>
  <customProperties>
    <customPr name="EpmWorksheetKeyString_GUID" r:id="rId1"/>
  </customPropertie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9795" r:id="rId4" name="Check Box 163">
              <controlPr defaultSize="0">
                <anchor moveWithCells="1">
                  <from>
                    <xdr:col>11</xdr:col>
                    <xdr:colOff>304800</xdr:colOff>
                    <xdr:row>7</xdr:row>
                    <xdr:rowOff>19050</xdr:rowOff>
                  </from>
                  <to>
                    <xdr:col>20</xdr:col>
                    <xdr:colOff>152400</xdr:colOff>
                    <xdr:row>8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7ae1635-7cf6-4967-bf43-54f936c832e8">
      <Terms xmlns="http://schemas.microsoft.com/office/infopath/2007/PartnerControls"/>
    </lcf76f155ced4ddcb4097134ff3c332f>
    <_Flow_SignoffStatus xmlns="67ae1635-7cf6-4967-bf43-54f936c832e8" xsi:nil="true"/>
    <TaxCatchAll xmlns="f70d6925-5891-4b80-8091-fb9b9ba1923c" xsi:nil="true"/>
    <Edici_x00f3_n xmlns="67ae1635-7cf6-4967-bf43-54f936c832e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4624D0BB820C54ABDC6F037BAC55DCE" ma:contentTypeVersion="21" ma:contentTypeDescription="Crear nuevo documento." ma:contentTypeScope="" ma:versionID="6af0f8407d44f800868623fe7e49d50d">
  <xsd:schema xmlns:xsd="http://www.w3.org/2001/XMLSchema" xmlns:xs="http://www.w3.org/2001/XMLSchema" xmlns:p="http://schemas.microsoft.com/office/2006/metadata/properties" xmlns:ns2="67ae1635-7cf6-4967-bf43-54f936c832e8" xmlns:ns3="f70d6925-5891-4b80-8091-fb9b9ba1923c" targetNamespace="http://schemas.microsoft.com/office/2006/metadata/properties" ma:root="true" ma:fieldsID="1fc8098be4f16a8ad4ae1e54ab4b6cd8" ns2:_="" ns3:_="">
    <xsd:import namespace="67ae1635-7cf6-4967-bf43-54f936c832e8"/>
    <xsd:import namespace="f70d6925-5891-4b80-8091-fb9b9ba1923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Edici_x00f3_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ae1635-7cf6-4967-bf43-54f936c832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21" nillable="true" ma:displayName="Estado de aprobación" ma:internalName="Estado_x0020_de_x0020_aprobaci_x00f3_n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1310d8ee-99bf-4ea4-9dbe-e9e068685e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Edici_x00f3_n" ma:index="27" nillable="true" ma:displayName="Edición" ma:format="Dropdown" ma:internalName="Edici_x00f3_n">
      <xsd:simpleType>
        <xsd:restriction base="dms:Text">
          <xsd:maxLength value="255"/>
        </xsd:restriction>
      </xsd:simpleType>
    </xsd:element>
    <xsd:element name="MediaServiceBillingMetadata" ma:index="28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0d6925-5891-4b80-8091-fb9b9ba1923c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c147b537-e170-468e-92c5-b8a7c5ceffe0}" ma:internalName="TaxCatchAll" ma:showField="CatchAllData" ma:web="f70d6925-5891-4b80-8091-fb9b9ba192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AE2424D-0E28-4020-8B92-0757A0E51183}"/>
</file>

<file path=customXml/itemProps2.xml><?xml version="1.0" encoding="utf-8"?>
<ds:datastoreItem xmlns:ds="http://schemas.openxmlformats.org/officeDocument/2006/customXml" ds:itemID="{CCC24272-2AFA-4E50-9AB0-D9FCB78906CD}"/>
</file>

<file path=customXml/itemProps3.xml><?xml version="1.0" encoding="utf-8"?>
<ds:datastoreItem xmlns:ds="http://schemas.openxmlformats.org/officeDocument/2006/customXml" ds:itemID="{388D7C1B-7B73-44C5-B21C-BD3DD128AEF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chapinero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rosa.granados</dc:creator>
  <cp:keywords/>
  <dc:description/>
  <cp:lastModifiedBy>Clementina Puentes Ayala</cp:lastModifiedBy>
  <cp:revision/>
  <dcterms:created xsi:type="dcterms:W3CDTF">2013-04-19T14:58:00Z</dcterms:created>
  <dcterms:modified xsi:type="dcterms:W3CDTF">2025-05-30T22:35:07Z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0x010100D4624D0BB820C54ABDC6F037BAC55DCE</vt:lpwstr>
  </property>
  <property fmtid="{D5CDD505-2E9C-101B-9397-08002B2CF9AE}" pid="3" name="MediaServiceImageTags">
    <vt:lpwstr/>
  </property>
  <property fmtid="{D5CDD505-2E9C-101B-9397-08002B2CF9AE}" pid="4" name="ICV">
    <vt:lpwstr>89C46BC8DC254C8FBF94C9B28D102C2B_13</vt:lpwstr>
  </property>
  <property fmtid="{D5CDD505-2E9C-101B-9397-08002B2CF9AE}" pid="5" name="KSOProductBuildVer">
    <vt:lpwstr>2058-12.2.0.17153</vt:lpwstr>
  </property>
</Properties>
</file>