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riana.beltran\Downloads\Noviembre\"/>
    </mc:Choice>
  </mc:AlternateContent>
  <bookViews>
    <workbookView xWindow="0" yWindow="0" windowWidth="20490" windowHeight="7650"/>
  </bookViews>
  <sheets>
    <sheet name="DETALLE DE COSTO.NOV.2023" sheetId="1" r:id="rId1"/>
    <sheet name="Desc.ANS.NOV_2023" sheetId="3" r:id="rId2"/>
    <sheet name="Espec.ANS -AMP" sheetId="4" r:id="rId3"/>
    <sheet name="VALOR BW AMPLIACIONES" sheetId="2" r:id="rId4"/>
  </sheets>
  <definedNames>
    <definedName name="_xlnm._FilterDatabase" localSheetId="0" hidden="1">'DETALLE DE COSTO.NOV.2023'!$B$3:$S$67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1" i="1" l="1"/>
  <c r="Q60" i="1"/>
  <c r="Q59" i="1"/>
  <c r="R60" i="1"/>
  <c r="H38" i="2"/>
  <c r="H36" i="2"/>
  <c r="G36" i="2"/>
  <c r="F36" i="2"/>
  <c r="Q20" i="1"/>
  <c r="W5" i="3"/>
  <c r="W6" i="3"/>
  <c r="S5" i="3" l="1"/>
  <c r="P5" i="3"/>
  <c r="N5" i="3"/>
  <c r="N6" i="3"/>
  <c r="P6" i="3" s="1"/>
  <c r="S6" i="3" s="1"/>
  <c r="M5" i="3"/>
  <c r="M6" i="3"/>
  <c r="L5" i="3"/>
  <c r="L6" i="3"/>
  <c r="N7" i="3"/>
  <c r="P7" i="3" s="1"/>
  <c r="S7" i="3" s="1"/>
  <c r="M7" i="3"/>
  <c r="L7" i="3"/>
  <c r="W9" i="3"/>
  <c r="N9" i="3"/>
  <c r="M9" i="3"/>
  <c r="P9" i="3" s="1"/>
  <c r="S9" i="3" s="1"/>
  <c r="L9" i="3"/>
  <c r="W8" i="3"/>
  <c r="N8" i="3"/>
  <c r="M8" i="3"/>
  <c r="L8" i="3"/>
  <c r="W7" i="3"/>
  <c r="S4" i="3"/>
  <c r="D71" i="1"/>
  <c r="E66" i="1"/>
  <c r="F66" i="1" s="1"/>
  <c r="D66" i="1"/>
  <c r="E65" i="1"/>
  <c r="F65" i="1" s="1"/>
  <c r="E64" i="1"/>
  <c r="F64" i="1" s="1"/>
  <c r="C67" i="1"/>
  <c r="B67" i="1"/>
  <c r="D65" i="1"/>
  <c r="D64" i="1"/>
  <c r="N25" i="2"/>
  <c r="N31" i="2"/>
  <c r="J23" i="2"/>
  <c r="J24" i="2"/>
  <c r="J25" i="2"/>
  <c r="J26" i="2"/>
  <c r="J27" i="2"/>
  <c r="J28" i="2"/>
  <c r="J29" i="2"/>
  <c r="J30" i="2"/>
  <c r="J31" i="2"/>
  <c r="J32" i="2"/>
  <c r="J22" i="2"/>
  <c r="M22" i="2"/>
  <c r="M25" i="2"/>
  <c r="H22" i="2"/>
  <c r="I22" i="2" s="1"/>
  <c r="N22" i="2" s="1"/>
  <c r="M23" i="2"/>
  <c r="N23" i="2" s="1"/>
  <c r="M24" i="2"/>
  <c r="M26" i="2"/>
  <c r="M27" i="2"/>
  <c r="M28" i="2"/>
  <c r="M29" i="2"/>
  <c r="M30" i="2"/>
  <c r="M31" i="2"/>
  <c r="M32" i="2"/>
  <c r="H32" i="2"/>
  <c r="I32" i="2" s="1"/>
  <c r="N32" i="2" s="1"/>
  <c r="H23" i="2"/>
  <c r="I23" i="2" s="1"/>
  <c r="H24" i="2"/>
  <c r="I24" i="2" s="1"/>
  <c r="N24" i="2" s="1"/>
  <c r="H25" i="2"/>
  <c r="I25" i="2" s="1"/>
  <c r="H26" i="2"/>
  <c r="I26" i="2" s="1"/>
  <c r="N26" i="2" s="1"/>
  <c r="H27" i="2"/>
  <c r="I27" i="2" s="1"/>
  <c r="N27" i="2" s="1"/>
  <c r="H28" i="2"/>
  <c r="I28" i="2" s="1"/>
  <c r="N28" i="2" s="1"/>
  <c r="H29" i="2"/>
  <c r="I29" i="2" s="1"/>
  <c r="N29" i="2" s="1"/>
  <c r="H30" i="2"/>
  <c r="I30" i="2" s="1"/>
  <c r="N30" i="2" s="1"/>
  <c r="H31" i="2"/>
  <c r="I31" i="2" s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P59" i="1"/>
  <c r="P60" i="1" s="1"/>
  <c r="P61" i="1" s="1"/>
  <c r="W10" i="3" l="1"/>
  <c r="P8" i="3"/>
  <c r="S8" i="3" s="1"/>
  <c r="W11" i="3"/>
  <c r="W12" i="3" s="1"/>
  <c r="D67" i="1"/>
  <c r="E67" i="1"/>
  <c r="E71" i="1" s="1"/>
  <c r="F67" i="1"/>
  <c r="R59" i="1"/>
  <c r="R61" i="1" s="1"/>
</calcChain>
</file>

<file path=xl/sharedStrings.xml><?xml version="1.0" encoding="utf-8"?>
<sst xmlns="http://schemas.openxmlformats.org/spreadsheetml/2006/main" count="625" uniqueCount="248">
  <si>
    <t>CIUDAD</t>
  </si>
  <si>
    <t>No</t>
  </si>
  <si>
    <t>UPL</t>
  </si>
  <si>
    <t>CODIGO DEL SERVICIO</t>
  </si>
  <si>
    <t>NIVEL</t>
  </si>
  <si>
    <t>TIPO</t>
  </si>
  <si>
    <t>ANCHO DE BANDA</t>
  </si>
  <si>
    <t>DIRECCION</t>
  </si>
  <si>
    <t xml:space="preserve">PRODUCTO </t>
  </si>
  <si>
    <t>ANS OBJETIVO</t>
  </si>
  <si>
    <t>ANS PERIODO</t>
  </si>
  <si>
    <t>INCIDENTES</t>
  </si>
  <si>
    <t>TICKET No.</t>
  </si>
  <si>
    <t xml:space="preserve">VALOR BASE MES </t>
  </si>
  <si>
    <t>DESCUENTO POR ANS</t>
  </si>
  <si>
    <t>OBSERVACION</t>
  </si>
  <si>
    <t>BOGOTA - INTERNET</t>
  </si>
  <si>
    <t>IT-C-CT-1-31</t>
  </si>
  <si>
    <t>ORO</t>
  </si>
  <si>
    <t>INTERNET</t>
  </si>
  <si>
    <t>Bogota - Carrera 85d # 46a -96 San Cayetano</t>
  </si>
  <si>
    <t>Enlaces de Conectividad Terrestre - Enlaces Dedicados a Internet - Zona 1 - Oro - Alta - 1Gbps - 1Gbps - Re-uso: 1:1 - Simétrico - Mes - CANTIDAD: 1</t>
  </si>
  <si>
    <t>CRAV - VALLEDUPAR</t>
  </si>
  <si>
    <t>IT-C-CT-1-16</t>
  </si>
  <si>
    <t>Valledupar - Calle 20 11-105 Barrio La Granja</t>
  </si>
  <si>
    <t>Enlaces de Conectividad Terrestre - Enlaces Dedicados a Internet - Zona 1 - Oro - Alta - 64Mbps - 64Mbps - Re-uso: 1:1 - Simétrico - Mes - CANTIDAD: 1</t>
  </si>
  <si>
    <t>CRAV - VILLAVICENCIO</t>
  </si>
  <si>
    <t xml:space="preserve">Villavicencio- VIA GRANJA CAMPO ALEGRE JUNTO A LA POLICIA </t>
  </si>
  <si>
    <t>CRAV - TUMACO</t>
  </si>
  <si>
    <t>IT-C-CT-1-86</t>
  </si>
  <si>
    <t>Tumaco-Centro Regional San Andres de Tumaco - Nariño - Carrera 34 Calle 3b Los Pinos Sector la Ciudadela</t>
  </si>
  <si>
    <t>Enlaces de Conectividad Terrestre - Enlaces Dedicados a Internet - Zona 3 - Oro - Alta - 64Mbps - 64Mbps - Re-uso: 1:1 - Simétrico - Mes - CANTIDAD: 1</t>
  </si>
  <si>
    <t>CRAV - APARTADO</t>
  </si>
  <si>
    <t>UPL0055</t>
  </si>
  <si>
    <t>Uraba - CARRERA 94 # 100-75 BLOQUE 1, BARRIO OBRERO DETRÁS DE LA GUARDERÍA ORO VERDE</t>
  </si>
  <si>
    <t>CRAV- QUIBDO</t>
  </si>
  <si>
    <t>IT-C-CT-1-51</t>
  </si>
  <si>
    <t>Quibdó- Centro de Atención CRAV Atrato- Carrera 6 con Calle 31 Esquina Barrio Cesar Conto</t>
  </si>
  <si>
    <t>Enlaces de Conectividad Terrestre - Enlaces Dedicados a Internet - Zona 2 - Oro - Alta - 64Mbps - 64Mbps - Re-uso: 1:1 - Simétrico - Mes - CANTIDAD: 1</t>
  </si>
  <si>
    <t>BOGOTA - MPLS</t>
  </si>
  <si>
    <t>IT-C-CT-2-31</t>
  </si>
  <si>
    <t>DATOS</t>
  </si>
  <si>
    <t>Enlaces de Conectividad Terrestre - Enlaces Dedicados entre Puntos - Zona 1 - Oro - Alta - 1Gbps - 1Gbps - Re-uso: 1:1 - Simétrico - Mes - CANTIDAD: 1</t>
  </si>
  <si>
    <t>MEDELLIN</t>
  </si>
  <si>
    <t>IT-C-CT-2-18</t>
  </si>
  <si>
    <t xml:space="preserve">Medellin - Calle 49 # 50-21 Pisos 14 y 15 Edificio El Café </t>
  </si>
  <si>
    <t>Enlaces de Conectividad Terrestre - Enlaces Dedicados entre Puntos - Zona 1 - Oro - Alta - 128Mbps - 128Mbps - Re-uso: 1:1 - Simétrico - Mes - CANTIDAD: 1</t>
  </si>
  <si>
    <t>DT -  BOGOTA</t>
  </si>
  <si>
    <t>IT-C-CT-2-156</t>
  </si>
  <si>
    <t>PLATA</t>
  </si>
  <si>
    <t xml:space="preserve">Bogota - Cra 18 # 93 -25 Of 405 Edificio INVERPOR </t>
  </si>
  <si>
    <t>Enlaces de Conectividad Terrestre - Enlaces Dedicados entre Puntos - Zona 1 - Plata - Alta - 64Mbps - 64Mbps - Re-uso: 1:1 - Simétrico - Mes - CANTIDAD: 1</t>
  </si>
  <si>
    <t>CALI</t>
  </si>
  <si>
    <t>Cali - Calle 16 Norte 9N 44-50</t>
  </si>
  <si>
    <t>VALLEDUPAR</t>
  </si>
  <si>
    <t>UPL0041</t>
  </si>
  <si>
    <t>Valledupar- Carrea 8 # 12-03 Barrio Cañahuate</t>
  </si>
  <si>
    <t>VILLAVICENCIO</t>
  </si>
  <si>
    <t>Villavicencio - Calle 19 # 39 -24 Barrio Camoa</t>
  </si>
  <si>
    <t>BUCARAMANGA</t>
  </si>
  <si>
    <t>IT-C-CT-2-191</t>
  </si>
  <si>
    <t>Bucaramanga -  Edificio de la Calle 37 #13-48 Tercer Piso</t>
  </si>
  <si>
    <t>Enlaces de Conectividad Terrestre - Enlaces Dedicados entre Puntos - Zona 2 - Plata - Alta - 64Mbps - 64Mbps - Re-uso: 1:1 - Simétrico - Mes - CANTIDAD: 1</t>
  </si>
  <si>
    <t>PASTO</t>
  </si>
  <si>
    <t>Pasto - Calle 18 No 41-54 Edificio WORK 18.42 Piso 3 y 4.</t>
  </si>
  <si>
    <t>PEREIRA</t>
  </si>
  <si>
    <t>Pereira -  Calle 19 # 8-34 Piso 10 Of. 1005 1006</t>
  </si>
  <si>
    <t>POPAYAN</t>
  </si>
  <si>
    <t>UPL0048</t>
  </si>
  <si>
    <t xml:space="preserve">Popayan - Calle 13N # 8N-12  Prados del Norte </t>
  </si>
  <si>
    <t>CARTAGENA</t>
  </si>
  <si>
    <t>Cartagena - Carrera 19#26-29 Tercer Callejón Diagonal Olímpica Estéreo.</t>
  </si>
  <si>
    <t>SANTA MARTA</t>
  </si>
  <si>
    <t>Santa Marta - Calle 24 # 3-99 Edificio Banco de Bogotá Of. 1505</t>
  </si>
  <si>
    <t>BARRANQUILLA</t>
  </si>
  <si>
    <t>Barranquilla - Carrera 58 # 64 - 102</t>
  </si>
  <si>
    <t>MONTERIA</t>
  </si>
  <si>
    <t>Monteria - Calle 64 # 8A-56 Barrio la castellana</t>
  </si>
  <si>
    <t>CUCUTA</t>
  </si>
  <si>
    <t>Cúcuta - Calle 11 No 060 y 062 Edificio Altamira Oficina 301</t>
  </si>
  <si>
    <t>FLORENCIA</t>
  </si>
  <si>
    <t>Florencia - calle 15 No 14-45 Barrio el Porvenir</t>
  </si>
  <si>
    <t>BARRANCABERMEJA</t>
  </si>
  <si>
    <t>Barrancabermeja - Transversal 49 A # 10-01 Of. 503, 504 Y 505 Edificio Terceto</t>
  </si>
  <si>
    <t>SINCELEJO</t>
  </si>
  <si>
    <t>Sincelejo - CRA 17 # 22 – 45 Centro Piso 1 y 2</t>
  </si>
  <si>
    <t>APARTADO</t>
  </si>
  <si>
    <t>IT-C-CT-2-226</t>
  </si>
  <si>
    <t>Apartado - Carrera 100 # 77-272 km1 via Carepa</t>
  </si>
  <si>
    <t>Enlaces de Conectividad Terrestre - Enlaces Dedicados entre Puntos - Zona 3 - Plata - Alta - 64Mbps - 64Mbps - Re-uso: 1:1 - Simétrico - Mes - CANTIDAD: 1</t>
  </si>
  <si>
    <t>IBAGUE</t>
  </si>
  <si>
    <t>Ibagué - Carrera 4 B No.36 -15, barrio Cádiz</t>
  </si>
  <si>
    <t>NEIVA</t>
  </si>
  <si>
    <t>Neiva- -Calle 11 # 3-41 Barrio Centro</t>
  </si>
  <si>
    <t>YOPAL</t>
  </si>
  <si>
    <t>Yopal - Calle 18 Nº 20-09 barrio el Gaban</t>
  </si>
  <si>
    <t xml:space="preserve">RIOHACHA </t>
  </si>
  <si>
    <t>ARMENIA</t>
  </si>
  <si>
    <t>Armenia - Calle 3 Norte # 13-55</t>
  </si>
  <si>
    <t>TUNJA</t>
  </si>
  <si>
    <t>Tunja -  Transversal 9B # 28A-29 Casa 3 Barrio Maldonado</t>
  </si>
  <si>
    <t>MOCOA</t>
  </si>
  <si>
    <t>Carrera 9 No. 21-108 Hotel Mocoa Samay</t>
  </si>
  <si>
    <t>ARAUCA</t>
  </si>
  <si>
    <t>Arauca-Carrera 28 Nro 19-61 Barrio la Esperanza</t>
  </si>
  <si>
    <t>SANJOSE DEL GUAVIARE</t>
  </si>
  <si>
    <t>SAN JOSE DEL GUAVIARE</t>
  </si>
  <si>
    <t>San jose del Guaviare -AVENIDA LOS COLONIZADORES Nº 29-91 BARRIO 20 DE JULIO LOTE 1</t>
  </si>
  <si>
    <t>MANIZALES</t>
  </si>
  <si>
    <t xml:space="preserve">Manizales - Calle 51 # 22A - 24 Local 4 Y 5 </t>
  </si>
  <si>
    <t>QUIBDO</t>
  </si>
  <si>
    <t>Quibdo - Carrera 7# 27-50 Tercer piso Barrio Alameda Reyes</t>
  </si>
  <si>
    <t>MITU VAUPES</t>
  </si>
  <si>
    <t>IT-C-CS-4-53</t>
  </si>
  <si>
    <t>BRONCE</t>
  </si>
  <si>
    <t>Mitu - Carrera 13ª  # 15ª – 87 Hotel Mitú Real Centro</t>
  </si>
  <si>
    <t>Enlaces de Conectividad Satelital - Enlace a Internet Satelital VSAT - Ancho de Banda - Zona 4 - Bronce - NA - 10Mbps - 5Mbps - Re-uso: 1:1 - Asimetría 1:2 - Mes - CANTIDAD: 1</t>
  </si>
  <si>
    <t>PUERTO INIRIDA</t>
  </si>
  <si>
    <t>Puerto Inirida - Calle 18 # 9 - 80 Barrio Los Comuneros</t>
  </si>
  <si>
    <t>PUERTO CARREÑO</t>
  </si>
  <si>
    <t>Puerto Carreño - Carrera 5  No 19-69 Locales 7 y 8</t>
  </si>
  <si>
    <t>NA</t>
  </si>
  <si>
    <t>IT-C-CT-7-11</t>
  </si>
  <si>
    <t>IT-C-CT-7-12</t>
  </si>
  <si>
    <t>IT-C-CT-7-13</t>
  </si>
  <si>
    <t>IT-C-CS-6-4</t>
  </si>
  <si>
    <t>TOTAL</t>
  </si>
  <si>
    <t>IVA</t>
  </si>
  <si>
    <t>TOTAL+IVA</t>
  </si>
  <si>
    <t xml:space="preserve">UPL0002   </t>
  </si>
  <si>
    <t xml:space="preserve">UPL0016   </t>
  </si>
  <si>
    <t xml:space="preserve">UPL0041   </t>
  </si>
  <si>
    <t xml:space="preserve">UPL0015   </t>
  </si>
  <si>
    <t xml:space="preserve">UPL0055   </t>
  </si>
  <si>
    <t xml:space="preserve">UPL0008   </t>
  </si>
  <si>
    <t xml:space="preserve">UPL0053   </t>
  </si>
  <si>
    <t xml:space="preserve">UPL0004   </t>
  </si>
  <si>
    <t xml:space="preserve">UPL0031   </t>
  </si>
  <si>
    <t xml:space="preserve">UPL0049   </t>
  </si>
  <si>
    <t xml:space="preserve">UPL0050   </t>
  </si>
  <si>
    <t xml:space="preserve">UPL0007   </t>
  </si>
  <si>
    <t xml:space="preserve">UPL0006   </t>
  </si>
  <si>
    <t xml:space="preserve">UPL0033   </t>
  </si>
  <si>
    <t xml:space="preserve">UPL0040   </t>
  </si>
  <si>
    <t xml:space="preserve">UPL0012   </t>
  </si>
  <si>
    <t xml:space="preserve">UPL0038   </t>
  </si>
  <si>
    <t xml:space="preserve">UPL0044   </t>
  </si>
  <si>
    <t xml:space="preserve">UPL0013   </t>
  </si>
  <si>
    <t xml:space="preserve">UPL0022   </t>
  </si>
  <si>
    <t xml:space="preserve">UPL0023   </t>
  </si>
  <si>
    <t xml:space="preserve">UPL0048   </t>
  </si>
  <si>
    <t xml:space="preserve">UPL0014   </t>
  </si>
  <si>
    <t xml:space="preserve">UPL0026   </t>
  </si>
  <si>
    <t xml:space="preserve">UPL0011   </t>
  </si>
  <si>
    <t xml:space="preserve">UPL0020   </t>
  </si>
  <si>
    <t xml:space="preserve">UPL0010   </t>
  </si>
  <si>
    <t xml:space="preserve">UPL0027   </t>
  </si>
  <si>
    <t xml:space="preserve">UPL0017   </t>
  </si>
  <si>
    <t xml:space="preserve">UPL0021   </t>
  </si>
  <si>
    <t xml:space="preserve">UPL0030   </t>
  </si>
  <si>
    <t xml:space="preserve">UPL0024   </t>
  </si>
  <si>
    <t xml:space="preserve">UPL0009   </t>
  </si>
  <si>
    <t xml:space="preserve">UPL0028   </t>
  </si>
  <si>
    <t xml:space="preserve">UPL0019   </t>
  </si>
  <si>
    <t xml:space="preserve">UPL0003   </t>
  </si>
  <si>
    <t xml:space="preserve">UPL0025   </t>
  </si>
  <si>
    <t xml:space="preserve">UPL0018   </t>
  </si>
  <si>
    <t xml:space="preserve">UPL0005   </t>
  </si>
  <si>
    <t>UPL0000063</t>
  </si>
  <si>
    <t>BOGOTA - UP</t>
  </si>
  <si>
    <t>IT-C-CT-2-158</t>
  </si>
  <si>
    <t>Enlaces de Conectividad Terrestre - Enlaces Dedicados entre Puntos - Zona 1 - Plata - Alta - 128Mbps - 128Mbps - Re-uso: 1:1 - Simétrico - Mes - CANTIDAD: 1</t>
  </si>
  <si>
    <t>Enlaces de Conectividad Terrestre - Traslado de Enlace Terrestre Fuera del Perímetro de la Entidad - Zona 1 - Plata - NA - NA - NA - NA - NA - Und - CANTIDAD: 4</t>
  </si>
  <si>
    <t>Enlaces de Conectividad Terrestre - Traslado de Enlace Terrestre Fuera del Perímetro de la Entidad - Zona 2 - Plata - NA - NA - NA - NA - NA - Und - CANTIDAD: 4</t>
  </si>
  <si>
    <t>Enlaces de Conectividad Terrestre - Traslado de Enlace Terrestre Fuera del Perímetro de la Entidad - Zona 3 - Plata - NA - NA - NA - NA - NA - Und - CANTIDAD: 3</t>
  </si>
  <si>
    <t>Enlaces de Conectividad Satelital - Traslado de Enlace Satelital Fuera del Perímetro de la Entidad - Zona 4 - Bronce - NA - NA - NA - NA - NA - enlace - CANTIDAD: 3</t>
  </si>
  <si>
    <t>IT-C-CT-4-26</t>
  </si>
  <si>
    <t>Enlaces de Conectividad Terrestre - Crecimiento Definitivo Enlace Dedicado a Internet - Zona 1 - Oro - Alta - 700Mbps - 700Mbps - Re-uso: 1:1 - Simétrico - Mes - CANTIDAD: 1</t>
  </si>
  <si>
    <t>IT-C-CT-4-282</t>
  </si>
  <si>
    <t>Enlaces de Conectividad Terrestre - Crecimiento Definitivo Enlaces Dedicados entre Puntos - Zona 1 - Oro - Alta - 20Mbps - 20Mbps - Re-uso: 1:1 - Simétrico - Mes - CANTIDAD: 1</t>
  </si>
  <si>
    <t>IT-C-CT-4-416</t>
  </si>
  <si>
    <t>Enlaces de Conectividad Terrestre - Crecimiento Definitivo Enlaces Dedicados entre Puntos - Zona 1 - Plata - Alta - 12Mbps - 12Mbps - Re-uso: 1:1 - Simétrico - Mes - CANTIDAD: 1</t>
  </si>
  <si>
    <t>IT-C-CT-4-450</t>
  </si>
  <si>
    <t>Enlaces de Conectividad Terrestre - Crecimiento Definitivo Enlaces Dedicados entre Puntos - Zona 2 - Plata - Alta - 12Mbps - 12Mbps - Re-uso: 1:1 - Simétrico - Mes - CANTIDAD: 1</t>
  </si>
  <si>
    <t>IT-C-CT-4-484</t>
  </si>
  <si>
    <t>Enlaces de Conectividad Terrestre - Crecimiento Definitivo Enlaces Dedicados entre Puntos - Zona 3 - Plata - Alta - 12Mbps - 12Mbps - Re-uso: 1:1 - Simétrico - Mes - CANTIDAD: 1</t>
  </si>
  <si>
    <t>Bogotá - Calle 53 #13-27 Piso 9</t>
  </si>
  <si>
    <t>Riohacha - Calle 12 A No. 12-77 - PISO 1</t>
  </si>
  <si>
    <t>BW</t>
  </si>
  <si>
    <t>VALOR TOTAL</t>
  </si>
  <si>
    <t>VALOR POR INCUMPLIMIENTO</t>
  </si>
  <si>
    <t>VALOR BW</t>
  </si>
  <si>
    <t>VALOR BW POR DÍA</t>
  </si>
  <si>
    <t>FECHA CONTRATADA</t>
  </si>
  <si>
    <t>FECHA DE INSTALACIÓN</t>
  </si>
  <si>
    <t>-</t>
  </si>
  <si>
    <t>BW ACTUAL</t>
  </si>
  <si>
    <t>BW-ACTUAL</t>
  </si>
  <si>
    <t>DESCUENTO POR INCUMPLIMINETO DE AMPLIACION ANCHO DE BANDA</t>
  </si>
  <si>
    <t>NOVIEMBRE</t>
  </si>
  <si>
    <t>Q</t>
  </si>
  <si>
    <t>%</t>
  </si>
  <si>
    <t>SUMA</t>
  </si>
  <si>
    <t>Bronce</t>
  </si>
  <si>
    <t>Oro</t>
  </si>
  <si>
    <t>Plata</t>
  </si>
  <si>
    <t xml:space="preserve">TOTAL </t>
  </si>
  <si>
    <t>ANS</t>
  </si>
  <si>
    <t>SERVICIO DE CONECTIVIDAD  PERIODO DE NOVIEMBRE 2023</t>
  </si>
  <si>
    <t>FECHA</t>
  </si>
  <si>
    <t>INICIO DE LA FALLA</t>
  </si>
  <si>
    <t>SOLUCION  DE LA FALLA</t>
  </si>
  <si>
    <t>IT SERVICIO</t>
  </si>
  <si>
    <t>IT SERVICIO CLARO</t>
  </si>
  <si>
    <t>ITEM_OC</t>
  </si>
  <si>
    <t>CATEGORIA</t>
  </si>
  <si>
    <t>ANS - ACUERDOS DE NIVELES DE SERVICIOS</t>
  </si>
  <si>
    <t>DESCUENTOS POR ANS</t>
  </si>
  <si>
    <t>MINUTOS</t>
  </si>
  <si>
    <t>PORCENTAJE</t>
  </si>
  <si>
    <t>CANTIDAD</t>
  </si>
  <si>
    <t>VALORES</t>
  </si>
  <si>
    <t>TIEMPO OBJETIVO
(HORAS DEL MES)</t>
  </si>
  <si>
    <t>TIEMPO OBJETIVO
(MINUTOS DEL MES)</t>
  </si>
  <si>
    <t>TIEMPO INDISPONIBILIDAD
(EN MINUTOS)</t>
  </si>
  <si>
    <t>ANS DEL PERIODO</t>
  </si>
  <si>
    <t>INTERRUPCIONES MAXIMAS EN UN MES</t>
  </si>
  <si>
    <t>INTERRUPCIONES PERIODO
(CANTIDAD DEL MES)</t>
  </si>
  <si>
    <t>INTERRUPCIONES</t>
  </si>
  <si>
    <t>PORCENTAJE TOTAL</t>
  </si>
  <si>
    <t>VLR BASE</t>
  </si>
  <si>
    <t>DESCUENTO</t>
  </si>
  <si>
    <t>SUBTOTAL DE DESCUENTO</t>
  </si>
  <si>
    <r>
      <t xml:space="preserve">Disponibilidad exigida
</t>
    </r>
    <r>
      <rPr>
        <b/>
        <sz val="11"/>
        <rFont val="Calibri"/>
        <family val="2"/>
        <scheme val="minor"/>
      </rPr>
      <t>&gt;=99.6% mensual</t>
    </r>
    <r>
      <rPr>
        <sz val="11"/>
        <rFont val="Calibri"/>
        <family val="2"/>
        <scheme val="minor"/>
      </rPr>
      <t xml:space="preserve">
Penalidad por no conformidad - Descuento en facturación
99%&lt;=Disponibilidad&lt;99.6%: 10% de descuento sobre el costo este servicio.
98%&lt;=Disponibilidad&lt;99%: 20% de descuento sobre el costo este servicio. 
97%&lt;=Disponibilidad&lt;98%: 50% de descuento sobre el costo este servicio. 
Disponibilidad&lt;97%: 100% de descuento sobre el costo este servicio. 
Penalidad por no conformidad - Modalidad compensación
99%&lt;=Disponibilidad&lt;99.6%: 10% de Ampliación del enlace contratado durante 30 días.
98%&lt;=Disponibilidad&lt;99%: 20% de Ampliación del enlace contratado durante 30 días.
97%&lt;=Disponibilidad&lt;98%: 50% de Ampliación del enlace contratado durante 30 días.
Disponibilidad&lt;97%: 100% de Ampliación del enlace contratado durante 30 días.
</t>
    </r>
  </si>
  <si>
    <r>
      <t xml:space="preserve">Disponibilidad exigida
</t>
    </r>
    <r>
      <rPr>
        <b/>
        <sz val="11"/>
        <rFont val="Calibri"/>
        <family val="2"/>
        <scheme val="minor"/>
      </rPr>
      <t>&gt;=99.9% mensual</t>
    </r>
    <r>
      <rPr>
        <sz val="11"/>
        <rFont val="Calibri"/>
        <family val="2"/>
        <scheme val="minor"/>
      </rPr>
      <t xml:space="preserve">
Penalidad por no conformidad - Descuento en facturación
99.6%&lt;=Disponibilidad&lt;99.9%: 10% de descuento sobre el costo este servicio.
99.3%&lt;=Disponibilidad&lt;99.6%: 20% de descuento sobre el costo este servicio. 
99%&lt;=Disponibilidad&lt;99.3%: 50% de descuento sobre el costo este servicio. 
Disponibilidad&lt;99%: 100% de descuento sobre el costo este servicio.
Penalidad por no conformidad - Modalidad compensación
99.6%&lt;=Disponibilidad&lt;99.9%: 10% de Ampliación del enlace contratado durante 30 días.
99.3%&lt;=Disponibilidad&lt;99.6%:  20% de Ampliación del enlace contratado durante 30 días.
99%&lt;=Disponibilidad&lt;99.3%:  50% de Ampliación del enlace contratado durante 30 días.
Disponibilidad&lt;99%: 100% de Ampliación del enlace contratado durante 30 días. 
</t>
    </r>
  </si>
  <si>
    <r>
      <t xml:space="preserve">Disponibilidad exigida
</t>
    </r>
    <r>
      <rPr>
        <b/>
        <sz val="11"/>
        <rFont val="Calibri"/>
        <family val="2"/>
        <scheme val="minor"/>
      </rPr>
      <t>&gt;=99.98% mensual</t>
    </r>
    <r>
      <rPr>
        <sz val="11"/>
        <rFont val="Calibri"/>
        <family val="2"/>
        <scheme val="minor"/>
      </rPr>
      <t xml:space="preserve">
Penalidad por no conformidad - Descuento en facturación
99.9%&lt;=Disponibilidad&lt;99.98%: 10% de descuento sobre el costo este servicio.
99.8%&lt;=Disponibilidad&lt;99.9%: 20% de descuento sobre el costo este servicio. 
99.7%&lt;=Disponibilidad&lt;99.8%: 50% de descuento sobre el costo este servicio. 
Disponibilidad&lt;99.7%: 100% de descuento sobre el costo este servicio.
Penalidad por no conformidad - Modalidad compensación
99.9%&lt;=Disponibilidad&lt;99.98%: 10% de Ampliación del enlace contratado durante 30 días.
99.8%&lt;=Disponibilidad&lt;99.9%: 20% de Ampliación del enlace contratado durante 30 días.
99.7%&lt;=Disponibilidad&lt;99.8%: 50% de Ampliación del enlace contratado durante 30 días.
Disponibilidad&lt;99.7%: 100% de Ampliación del enlace contratado durante 30 días. 
</t>
    </r>
  </si>
  <si>
    <t>Interrupciones</t>
  </si>
  <si>
    <t>Interrupciones máximas en un mes
2 Interrupciones.
Penalidad por no conformidad - Descuento en facturación
3 Interrupciones: 20% de descuento sobre el costo de este servicio.
4 Interrupciones: 50% de descuento sobre el costo de este servicio.
&gt;5 Interrupciones: 100% de descuento sobre el costo de este servicio.
Penalidad por no conformidad - Modalidad compensación
3 Interrupciones: 20% de Ampliación del enlace contratado durante 30 días.
4 Interrupciones: 50% de Ampliación del enlace contratado durante 30 días.
&gt;5 Interrupciones: 100% de Ampliación del enlace contratado durante 30 días.</t>
  </si>
  <si>
    <t>SD2746975</t>
  </si>
  <si>
    <t>SD2763757</t>
  </si>
  <si>
    <t>CRAV-APARTADO</t>
  </si>
  <si>
    <t>SD2763987</t>
  </si>
  <si>
    <t>DESCUENTO POR INCUMPLIMINETO DE AMPLIACION ANCHO DE BANDA Y ANS POR INDISPONIBILIDAD 50%</t>
  </si>
  <si>
    <t>DESCUENTO POR INCUMPLIMINETO DE AMPLIACION ANCHO DE BANDA Y ANS POR INDISPONIBILIDAD 100%</t>
  </si>
  <si>
    <t>ANS POR INDISPONIBILIDAD 100%</t>
  </si>
  <si>
    <t>BOGOTA-UP</t>
  </si>
  <si>
    <t>Descuento aplicado por que el canal quedo instalado el 17 de noviembre de 2023</t>
  </si>
  <si>
    <t>Descuento aplicado por que el canal no ha quedo trasladado y funcional hasta la fecha, se realiza la solicitud el 11 de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</si>
</sst>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[$$-240A]\ #,##0.00"/>
    <numFmt numFmtId="165" formatCode="0.000"/>
    <numFmt numFmtId="166" formatCode="_(* #,##0_);_(* \(#,##0\);_(* &quot;-&quot;??_);_(@_)"/>
    <numFmt numFmtId="167" formatCode="_-&quot;$&quot;* #,##0.00_-;\-&quot;$&quot;* #,##0.00_-;_-&quot;$&quot;* &quot;-&quot;??_-;_-@_-"/>
    <numFmt numFmtId="168" formatCode="[$$-240A]\ #,##0.0000"/>
    <numFmt numFmtId="169" formatCode="_-&quot;$&quot;\ * #,##0.0000_-;\-&quot;$&quot;\ * #,##0.0000_-;_-&quot;$&quot;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indexed="64"/>
      <name val="Microsoft Sans Serif"/>
      <family val="2"/>
    </font>
    <font>
      <b/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4.9989318521683403E-2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2" tint="-0.249977111117893"/>
      </bottom>
      <diagonal/>
    </border>
    <border>
      <left/>
      <right/>
      <top style="thin">
        <color theme="0" tint="-0.34998626667073579"/>
      </top>
      <bottom style="thin">
        <color theme="2" tint="-0.249977111117893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2" tint="-0.249977111117893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140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4" fillId="0" borderId="4" xfId="0" applyFont="1" applyBorder="1" applyAlignment="1" applyProtection="1">
      <alignment horizontal="center" vertical="center" wrapText="1"/>
      <protection hidden="1"/>
    </xf>
    <xf numFmtId="0" fontId="6" fillId="0" borderId="4" xfId="0" applyFont="1" applyBorder="1" applyAlignment="1" applyProtection="1">
      <alignment horizontal="center" vertical="center" wrapText="1"/>
      <protection hidden="1"/>
    </xf>
    <xf numFmtId="0" fontId="4" fillId="4" borderId="3" xfId="0" applyFont="1" applyFill="1" applyBorder="1" applyAlignment="1" applyProtection="1">
      <alignment horizontal="center" vertical="center"/>
      <protection hidden="1"/>
    </xf>
    <xf numFmtId="0" fontId="4" fillId="4" borderId="4" xfId="0" applyFont="1" applyFill="1" applyBorder="1" applyAlignment="1" applyProtection="1">
      <alignment horizontal="left" vertical="center"/>
      <protection hidden="1"/>
    </xf>
    <xf numFmtId="0" fontId="0" fillId="0" borderId="4" xfId="0" applyBorder="1" applyAlignment="1" applyProtection="1">
      <alignment vertical="center"/>
      <protection hidden="1"/>
    </xf>
    <xf numFmtId="10" fontId="4" fillId="0" borderId="4" xfId="0" applyNumberFormat="1" applyFont="1" applyBorder="1" applyAlignment="1" applyProtection="1">
      <alignment horizontal="center" vertical="center" wrapText="1"/>
      <protection hidden="1"/>
    </xf>
    <xf numFmtId="0" fontId="7" fillId="4" borderId="3" xfId="0" applyFont="1" applyFill="1" applyBorder="1" applyAlignment="1" applyProtection="1">
      <alignment horizontal="left" vertical="center"/>
      <protection hidden="1"/>
    </xf>
    <xf numFmtId="0" fontId="7" fillId="4" borderId="4" xfId="0" applyFont="1" applyFill="1" applyBorder="1" applyAlignment="1" applyProtection="1">
      <alignment horizontal="left" vertical="center"/>
      <protection hidden="1"/>
    </xf>
    <xf numFmtId="164" fontId="6" fillId="0" borderId="4" xfId="0" applyNumberFormat="1" applyFont="1" applyBorder="1" applyAlignment="1" applyProtection="1">
      <alignment horizontal="center" vertical="center" wrapText="1"/>
      <protection hidden="1"/>
    </xf>
    <xf numFmtId="164" fontId="7" fillId="0" borderId="4" xfId="0" applyNumberFormat="1" applyFont="1" applyBorder="1" applyAlignment="1" applyProtection="1">
      <alignment horizontal="left" vertical="center" wrapText="1"/>
      <protection hidden="1"/>
    </xf>
    <xf numFmtId="0" fontId="7" fillId="0" borderId="4" xfId="0" applyFont="1" applyBorder="1" applyAlignment="1" applyProtection="1">
      <alignment horizontal="center" vertical="center" wrapText="1"/>
      <protection hidden="1"/>
    </xf>
    <xf numFmtId="0" fontId="4" fillId="0" borderId="4" xfId="0" applyFont="1" applyBorder="1" applyAlignment="1" applyProtection="1">
      <alignment horizontal="left" vertical="center" wrapText="1"/>
      <protection hidden="1"/>
    </xf>
    <xf numFmtId="164" fontId="4" fillId="0" borderId="4" xfId="0" applyNumberFormat="1" applyFont="1" applyBorder="1" applyAlignment="1" applyProtection="1">
      <alignment horizontal="left" vertical="center" wrapText="1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left" vertical="center"/>
      <protection hidden="1"/>
    </xf>
    <xf numFmtId="0" fontId="8" fillId="0" borderId="4" xfId="0" applyFont="1" applyBorder="1" applyAlignment="1" applyProtection="1">
      <alignment vertical="center"/>
      <protection hidden="1"/>
    </xf>
    <xf numFmtId="10" fontId="6" fillId="0" borderId="4" xfId="0" applyNumberFormat="1" applyFont="1" applyBorder="1" applyAlignment="1" applyProtection="1">
      <alignment horizontal="center" vertical="center" wrapText="1"/>
      <protection hidden="1"/>
    </xf>
    <xf numFmtId="0" fontId="7" fillId="4" borderId="4" xfId="0" applyFont="1" applyFill="1" applyBorder="1" applyAlignment="1" applyProtection="1">
      <alignment horizontal="left" vertical="center" wrapText="1"/>
      <protection hidden="1"/>
    </xf>
    <xf numFmtId="0" fontId="7" fillId="4" borderId="3" xfId="0" applyFont="1" applyFill="1" applyBorder="1" applyAlignment="1" applyProtection="1">
      <alignment horizontal="left" vertical="center" wrapText="1"/>
      <protection hidden="1"/>
    </xf>
    <xf numFmtId="0" fontId="4" fillId="4" borderId="4" xfId="0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Border="1" applyAlignment="1" applyProtection="1">
      <alignment horizontal="left" vertical="center" wrapText="1"/>
      <protection hidden="1"/>
    </xf>
    <xf numFmtId="0" fontId="7" fillId="0" borderId="4" xfId="0" applyFont="1" applyBorder="1" applyAlignment="1" applyProtection="1">
      <alignment horizontal="left" vertical="center" wrapText="1"/>
      <protection hidden="1"/>
    </xf>
    <xf numFmtId="42" fontId="7" fillId="0" borderId="4" xfId="3" applyFont="1" applyBorder="1" applyAlignment="1" applyProtection="1">
      <alignment horizontal="left" vertical="center" wrapText="1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left" vertical="center"/>
      <protection hidden="1"/>
    </xf>
    <xf numFmtId="0" fontId="7" fillId="0" borderId="3" xfId="0" applyFont="1" applyBorder="1" applyAlignment="1" applyProtection="1">
      <alignment horizontal="left" vertical="center"/>
      <protection hidden="1"/>
    </xf>
    <xf numFmtId="164" fontId="7" fillId="4" borderId="4" xfId="0" applyNumberFormat="1" applyFont="1" applyFill="1" applyBorder="1" applyAlignment="1" applyProtection="1">
      <alignment horizontal="left" vertical="center" wrapText="1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0" fontId="3" fillId="5" borderId="6" xfId="0" applyFont="1" applyFill="1" applyBorder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hidden="1"/>
    </xf>
    <xf numFmtId="49" fontId="9" fillId="0" borderId="0" xfId="0" applyNumberFormat="1" applyFont="1"/>
    <xf numFmtId="0" fontId="6" fillId="0" borderId="5" xfId="0" applyFont="1" applyBorder="1" applyAlignment="1" applyProtection="1">
      <alignment horizontal="center" vertical="center" wrapText="1"/>
      <protection hidden="1"/>
    </xf>
    <xf numFmtId="0" fontId="4" fillId="0" borderId="5" xfId="0" applyFont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4" fillId="4" borderId="4" xfId="0" applyFont="1" applyFill="1" applyBorder="1" applyAlignment="1" applyProtection="1">
      <alignment horizontal="center" vertical="center"/>
      <protection hidden="1"/>
    </xf>
    <xf numFmtId="0" fontId="4" fillId="8" borderId="4" xfId="0" applyFont="1" applyFill="1" applyBorder="1" applyAlignment="1" applyProtection="1">
      <alignment horizontal="center" vertical="center" wrapText="1"/>
      <protection hidden="1"/>
    </xf>
    <xf numFmtId="0" fontId="0" fillId="8" borderId="0" xfId="0" applyFill="1"/>
    <xf numFmtId="164" fontId="0" fillId="0" borderId="0" xfId="0" applyNumberFormat="1"/>
    <xf numFmtId="14" fontId="0" fillId="0" borderId="0" xfId="0" applyNumberFormat="1"/>
    <xf numFmtId="0" fontId="2" fillId="6" borderId="3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0" fillId="4" borderId="3" xfId="0" applyFill="1" applyBorder="1"/>
    <xf numFmtId="0" fontId="0" fillId="4" borderId="3" xfId="0" applyFill="1" applyBorder="1" applyAlignment="1">
      <alignment horizontal="center" vertical="center"/>
    </xf>
    <xf numFmtId="10" fontId="0" fillId="0" borderId="3" xfId="4" applyNumberFormat="1" applyFont="1" applyBorder="1"/>
    <xf numFmtId="165" fontId="0" fillId="4" borderId="3" xfId="0" applyNumberFormat="1" applyFill="1" applyBorder="1"/>
    <xf numFmtId="10" fontId="0" fillId="4" borderId="3" xfId="4" applyNumberFormat="1" applyFont="1" applyFill="1" applyBorder="1"/>
    <xf numFmtId="10" fontId="0" fillId="4" borderId="3" xfId="0" applyNumberFormat="1" applyFill="1" applyBorder="1"/>
    <xf numFmtId="0" fontId="2" fillId="9" borderId="3" xfId="0" applyFont="1" applyFill="1" applyBorder="1" applyAlignment="1">
      <alignment horizontal="left" vertical="center" wrapText="1"/>
    </xf>
    <xf numFmtId="0" fontId="2" fillId="9" borderId="3" xfId="0" applyFont="1" applyFill="1" applyBorder="1" applyAlignment="1">
      <alignment horizontal="center" vertical="center" wrapText="1"/>
    </xf>
    <xf numFmtId="10" fontId="2" fillId="6" borderId="3" xfId="0" applyNumberFormat="1" applyFont="1" applyFill="1" applyBorder="1" applyAlignment="1">
      <alignment horizontal="right" vertical="center" wrapText="1"/>
    </xf>
    <xf numFmtId="2" fontId="2" fillId="6" borderId="3" xfId="0" applyNumberFormat="1" applyFont="1" applyFill="1" applyBorder="1" applyAlignment="1">
      <alignment horizontal="center" vertical="center" wrapText="1"/>
    </xf>
    <xf numFmtId="10" fontId="2" fillId="10" borderId="3" xfId="4" applyNumberFormat="1" applyFont="1" applyFill="1" applyBorder="1"/>
    <xf numFmtId="2" fontId="2" fillId="10" borderId="3" xfId="4" applyNumberFormat="1" applyFont="1" applyFill="1" applyBorder="1"/>
    <xf numFmtId="10" fontId="0" fillId="0" borderId="3" xfId="0" applyNumberFormat="1" applyBorder="1" applyAlignment="1">
      <alignment horizontal="center"/>
    </xf>
    <xf numFmtId="10" fontId="3" fillId="11" borderId="3" xfId="4" applyNumberFormat="1" applyFont="1" applyFill="1" applyBorder="1" applyAlignment="1">
      <alignment horizontal="center"/>
    </xf>
    <xf numFmtId="10" fontId="0" fillId="4" borderId="3" xfId="4" applyNumberFormat="1" applyFont="1" applyFill="1" applyBorder="1" applyAlignment="1">
      <alignment horizontal="center" vertical="center"/>
    </xf>
    <xf numFmtId="165" fontId="0" fillId="4" borderId="3" xfId="0" applyNumberFormat="1" applyFill="1" applyBorder="1" applyAlignment="1">
      <alignment horizontal="center" vertical="center"/>
    </xf>
    <xf numFmtId="10" fontId="0" fillId="0" borderId="0" xfId="0" applyNumberFormat="1"/>
    <xf numFmtId="10" fontId="0" fillId="4" borderId="3" xfId="0" applyNumberFormat="1" applyFill="1" applyBorder="1" applyAlignment="1">
      <alignment horizontal="center" vertical="center"/>
    </xf>
    <xf numFmtId="0" fontId="6" fillId="15" borderId="15" xfId="0" applyFont="1" applyFill="1" applyBorder="1" applyAlignment="1">
      <alignment horizontal="center" vertical="center" textRotation="90" wrapText="1"/>
    </xf>
    <xf numFmtId="0" fontId="6" fillId="0" borderId="15" xfId="0" applyFont="1" applyBorder="1" applyAlignment="1">
      <alignment horizontal="center" vertical="center" textRotation="90" wrapText="1"/>
    </xf>
    <xf numFmtId="0" fontId="6" fillId="4" borderId="15" xfId="0" applyFont="1" applyFill="1" applyBorder="1" applyAlignment="1">
      <alignment horizontal="center" vertical="center" textRotation="90" wrapText="1"/>
    </xf>
    <xf numFmtId="0" fontId="11" fillId="2" borderId="15" xfId="0" applyFont="1" applyFill="1" applyBorder="1" applyAlignment="1">
      <alignment horizontal="center" vertical="center" textRotation="90" wrapText="1"/>
    </xf>
    <xf numFmtId="0" fontId="12" fillId="15" borderId="15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4" fillId="11" borderId="3" xfId="0" applyFont="1" applyFill="1" applyBorder="1" applyAlignment="1" applyProtection="1">
      <alignment horizontal="center" vertical="center" wrapText="1"/>
      <protection hidden="1"/>
    </xf>
    <xf numFmtId="14" fontId="5" fillId="4" borderId="3" xfId="0" applyNumberFormat="1" applyFont="1" applyFill="1" applyBorder="1" applyAlignment="1" applyProtection="1">
      <alignment horizontal="center" vertical="center"/>
      <protection hidden="1"/>
    </xf>
    <xf numFmtId="22" fontId="5" fillId="4" borderId="3" xfId="0" applyNumberFormat="1" applyFont="1" applyFill="1" applyBorder="1" applyAlignment="1" applyProtection="1">
      <alignment horizontal="center" vertical="center"/>
      <protection hidden="1"/>
    </xf>
    <xf numFmtId="0" fontId="5" fillId="7" borderId="3" xfId="0" applyFont="1" applyFill="1" applyBorder="1" applyAlignment="1" applyProtection="1">
      <alignment vertical="center" wrapText="1"/>
      <protection hidden="1"/>
    </xf>
    <xf numFmtId="0" fontId="4" fillId="0" borderId="3" xfId="0" applyFont="1" applyBorder="1" applyAlignment="1" applyProtection="1">
      <alignment horizontal="left" vertical="center" wrapText="1"/>
      <protection hidden="1"/>
    </xf>
    <xf numFmtId="0" fontId="0" fillId="7" borderId="4" xfId="0" applyFill="1" applyBorder="1" applyAlignment="1" applyProtection="1">
      <alignment vertical="center" wrapText="1"/>
      <protection hidden="1"/>
    </xf>
    <xf numFmtId="0" fontId="4" fillId="4" borderId="3" xfId="0" applyFont="1" applyFill="1" applyBorder="1" applyAlignment="1" applyProtection="1">
      <alignment horizontal="center" vertical="center" wrapText="1"/>
      <protection hidden="1"/>
    </xf>
    <xf numFmtId="166" fontId="4" fillId="16" borderId="16" xfId="1" applyNumberFormat="1" applyFont="1" applyFill="1" applyBorder="1" applyAlignment="1">
      <alignment vertical="center" wrapText="1"/>
    </xf>
    <xf numFmtId="1" fontId="4" fillId="0" borderId="17" xfId="1" applyNumberFormat="1" applyFont="1" applyBorder="1" applyAlignment="1">
      <alignment vertical="center" wrapText="1"/>
    </xf>
    <xf numFmtId="10" fontId="4" fillId="16" borderId="16" xfId="4" applyNumberFormat="1" applyFont="1" applyFill="1" applyBorder="1" applyAlignment="1">
      <alignment horizontal="center" vertical="center" wrapText="1"/>
    </xf>
    <xf numFmtId="10" fontId="7" fillId="0" borderId="16" xfId="4" applyNumberFormat="1" applyFont="1" applyFill="1" applyBorder="1" applyAlignment="1">
      <alignment horizontal="center" vertical="center" wrapText="1"/>
    </xf>
    <xf numFmtId="166" fontId="4" fillId="16" borderId="18" xfId="1" applyNumberFormat="1" applyFont="1" applyFill="1" applyBorder="1" applyAlignment="1">
      <alignment vertical="center" wrapText="1"/>
    </xf>
    <xf numFmtId="166" fontId="4" fillId="4" borderId="18" xfId="1" applyNumberFormat="1" applyFont="1" applyFill="1" applyBorder="1" applyAlignment="1">
      <alignment vertical="center" wrapText="1"/>
    </xf>
    <xf numFmtId="10" fontId="7" fillId="4" borderId="18" xfId="4" applyNumberFormat="1" applyFont="1" applyFill="1" applyBorder="1" applyAlignment="1">
      <alignment vertical="center" wrapText="1"/>
    </xf>
    <xf numFmtId="1" fontId="4" fillId="7" borderId="18" xfId="2" applyNumberFormat="1" applyFont="1" applyFill="1" applyBorder="1" applyAlignment="1">
      <alignment horizontal="center" vertical="center" wrapText="1"/>
    </xf>
    <xf numFmtId="9" fontId="7" fillId="0" borderId="18" xfId="0" applyNumberFormat="1" applyFont="1" applyBorder="1" applyAlignment="1">
      <alignment horizontal="center" vertical="center" wrapText="1"/>
    </xf>
    <xf numFmtId="44" fontId="6" fillId="0" borderId="18" xfId="2" applyFont="1" applyBorder="1" applyAlignment="1" applyProtection="1">
      <alignment vertical="center" wrapText="1"/>
      <protection hidden="1"/>
    </xf>
    <xf numFmtId="164" fontId="6" fillId="0" borderId="18" xfId="0" applyNumberFormat="1" applyFont="1" applyBorder="1" applyAlignment="1" applyProtection="1">
      <alignment vertical="center" wrapText="1"/>
      <protection hidden="1"/>
    </xf>
    <xf numFmtId="167" fontId="5" fillId="0" borderId="16" xfId="5" applyFont="1" applyBorder="1" applyAlignment="1">
      <alignment vertical="center"/>
    </xf>
    <xf numFmtId="167" fontId="7" fillId="0" borderId="16" xfId="5" applyFont="1" applyBorder="1" applyAlignment="1">
      <alignment vertical="center"/>
    </xf>
    <xf numFmtId="0" fontId="13" fillId="17" borderId="9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left" vertical="top" wrapText="1" readingOrder="1"/>
    </xf>
    <xf numFmtId="0" fontId="8" fillId="4" borderId="16" xfId="0" applyFont="1" applyFill="1" applyBorder="1" applyAlignment="1">
      <alignment horizontal="left" vertical="center" wrapText="1" readingOrder="1"/>
    </xf>
    <xf numFmtId="0" fontId="8" fillId="4" borderId="23" xfId="0" applyFont="1" applyFill="1" applyBorder="1" applyAlignment="1">
      <alignment horizontal="left" vertical="center" wrapText="1" readingOrder="1"/>
    </xf>
    <xf numFmtId="0" fontId="0" fillId="0" borderId="24" xfId="0" applyBorder="1"/>
    <xf numFmtId="0" fontId="0" fillId="0" borderId="25" xfId="0" applyBorder="1"/>
    <xf numFmtId="0" fontId="3" fillId="0" borderId="24" xfId="0" applyFont="1" applyBorder="1"/>
    <xf numFmtId="0" fontId="0" fillId="0" borderId="26" xfId="0" applyBorder="1" applyAlignment="1">
      <alignment wrapText="1"/>
    </xf>
    <xf numFmtId="0" fontId="0" fillId="0" borderId="27" xfId="0" applyBorder="1"/>
    <xf numFmtId="0" fontId="0" fillId="0" borderId="28" xfId="0" applyBorder="1"/>
    <xf numFmtId="0" fontId="4" fillId="11" borderId="3" xfId="0" applyFont="1" applyFill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left" vertical="center"/>
      <protection hidden="1"/>
    </xf>
    <xf numFmtId="10" fontId="7" fillId="0" borderId="4" xfId="0" applyNumberFormat="1" applyFont="1" applyBorder="1" applyAlignment="1" applyProtection="1">
      <alignment horizontal="center" vertical="center" wrapText="1"/>
      <protection hidden="1"/>
    </xf>
    <xf numFmtId="44" fontId="0" fillId="0" borderId="0" xfId="2" applyFont="1"/>
    <xf numFmtId="44" fontId="0" fillId="0" borderId="0" xfId="0" applyNumberFormat="1"/>
    <xf numFmtId="9" fontId="0" fillId="0" borderId="0" xfId="4" applyFont="1"/>
    <xf numFmtId="168" fontId="2" fillId="6" borderId="6" xfId="0" applyNumberFormat="1" applyFont="1" applyFill="1" applyBorder="1"/>
    <xf numFmtId="168" fontId="0" fillId="0" borderId="7" xfId="0" applyNumberFormat="1" applyBorder="1"/>
    <xf numFmtId="168" fontId="0" fillId="0" borderId="6" xfId="2" applyNumberFormat="1" applyFont="1" applyBorder="1"/>
    <xf numFmtId="168" fontId="0" fillId="0" borderId="6" xfId="0" applyNumberFormat="1" applyBorder="1"/>
    <xf numFmtId="168" fontId="3" fillId="0" borderId="6" xfId="0" applyNumberFormat="1" applyFont="1" applyBorder="1"/>
    <xf numFmtId="169" fontId="0" fillId="0" borderId="0" xfId="2" applyNumberFormat="1" applyFont="1"/>
    <xf numFmtId="0" fontId="2" fillId="9" borderId="0" xfId="0" applyFont="1" applyFill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9" borderId="3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5" fillId="0" borderId="19" xfId="0" applyFont="1" applyBorder="1" applyAlignment="1">
      <alignment horizontal="right" vertical="center" wrapText="1" indent="1"/>
    </xf>
    <xf numFmtId="0" fontId="5" fillId="0" borderId="20" xfId="0" applyFont="1" applyBorder="1" applyAlignment="1">
      <alignment horizontal="right" vertical="center" wrapText="1" indent="1"/>
    </xf>
    <xf numFmtId="0" fontId="5" fillId="0" borderId="21" xfId="0" applyFont="1" applyBorder="1" applyAlignment="1">
      <alignment horizontal="right" vertical="center" wrapText="1" indent="1"/>
    </xf>
    <xf numFmtId="0" fontId="11" fillId="14" borderId="10" xfId="0" applyFont="1" applyFill="1" applyBorder="1" applyAlignment="1">
      <alignment horizontal="center" vertical="center"/>
    </xf>
    <xf numFmtId="0" fontId="11" fillId="14" borderId="11" xfId="0" applyFont="1" applyFill="1" applyBorder="1" applyAlignment="1">
      <alignment horizontal="center" vertical="center"/>
    </xf>
    <xf numFmtId="0" fontId="11" fillId="14" borderId="12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0" fillId="12" borderId="9" xfId="0" applyFont="1" applyFill="1" applyBorder="1" applyAlignment="1">
      <alignment horizontal="center" vertical="center" wrapText="1"/>
    </xf>
    <xf numFmtId="0" fontId="10" fillId="12" borderId="13" xfId="0" applyFont="1" applyFill="1" applyBorder="1" applyAlignment="1">
      <alignment horizontal="center" vertical="center" wrapText="1"/>
    </xf>
    <xf numFmtId="0" fontId="10" fillId="12" borderId="14" xfId="0" applyFont="1" applyFill="1" applyBorder="1" applyAlignment="1">
      <alignment horizontal="center" vertical="center" wrapText="1"/>
    </xf>
    <xf numFmtId="0" fontId="10" fillId="12" borderId="9" xfId="0" applyFont="1" applyFill="1" applyBorder="1" applyAlignment="1">
      <alignment horizontal="center" vertical="center" textRotation="90" wrapText="1"/>
    </xf>
    <xf numFmtId="0" fontId="10" fillId="12" borderId="13" xfId="0" applyFont="1" applyFill="1" applyBorder="1" applyAlignment="1">
      <alignment horizontal="center" vertical="center" textRotation="90" wrapText="1"/>
    </xf>
    <xf numFmtId="0" fontId="10" fillId="12" borderId="14" xfId="0" applyFont="1" applyFill="1" applyBorder="1" applyAlignment="1">
      <alignment horizontal="center" vertical="center" textRotation="90" wrapText="1"/>
    </xf>
    <xf numFmtId="0" fontId="10" fillId="13" borderId="9" xfId="0" applyFont="1" applyFill="1" applyBorder="1" applyAlignment="1">
      <alignment horizontal="center" vertical="center" wrapText="1"/>
    </xf>
    <xf numFmtId="0" fontId="10" fillId="13" borderId="13" xfId="0" applyFont="1" applyFill="1" applyBorder="1" applyAlignment="1">
      <alignment horizontal="center" vertical="center" wrapText="1"/>
    </xf>
    <xf numFmtId="0" fontId="10" fillId="13" borderId="14" xfId="0" applyFont="1" applyFill="1" applyBorder="1" applyAlignment="1">
      <alignment horizontal="center" vertical="center" wrapText="1"/>
    </xf>
  </cellXfs>
  <cellStyles count="6">
    <cellStyle name="Millares" xfId="1" builtinId="3"/>
    <cellStyle name="Moneda" xfId="2" builtinId="4"/>
    <cellStyle name="Moneda [0]" xfId="3" builtinId="7"/>
    <cellStyle name="Moneda 2 4" xfId="5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74"/>
  <sheetViews>
    <sheetView tabSelected="1" topLeftCell="E37" zoomScaleNormal="100" workbookViewId="0">
      <selection activeCell="Q64" sqref="Q64"/>
    </sheetView>
  </sheetViews>
  <sheetFormatPr baseColWidth="10" defaultRowHeight="15" x14ac:dyDescent="0.25"/>
  <cols>
    <col min="2" max="2" width="18" bestFit="1" customWidth="1"/>
    <col min="3" max="3" width="8.5703125" bestFit="1" customWidth="1"/>
    <col min="4" max="4" width="13.85546875" bestFit="1" customWidth="1"/>
    <col min="5" max="5" width="26" bestFit="1" customWidth="1"/>
    <col min="6" max="6" width="11.140625" bestFit="1" customWidth="1"/>
    <col min="7" max="7" width="10.28515625" bestFit="1" customWidth="1"/>
    <col min="8" max="8" width="22.28515625" bestFit="1" customWidth="1"/>
    <col min="9" max="9" width="18.28515625" bestFit="1" customWidth="1"/>
    <col min="10" max="10" width="55.140625" customWidth="1"/>
    <col min="11" max="11" width="22.7109375" customWidth="1"/>
    <col min="12" max="12" width="11.7109375" customWidth="1"/>
    <col min="16" max="16" width="21.140625" bestFit="1" customWidth="1"/>
    <col min="17" max="17" width="20.5703125" bestFit="1" customWidth="1"/>
    <col min="18" max="18" width="19.85546875" bestFit="1" customWidth="1"/>
    <col min="19" max="19" width="28.7109375" customWidth="1"/>
  </cols>
  <sheetData>
    <row r="2" spans="2:22" x14ac:dyDescent="0.25">
      <c r="C2" s="118" t="s">
        <v>208</v>
      </c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</row>
    <row r="3" spans="2:22" ht="30" x14ac:dyDescent="0.25">
      <c r="B3" s="1" t="s">
        <v>0</v>
      </c>
      <c r="C3" s="2" t="s">
        <v>1</v>
      </c>
      <c r="D3" s="2" t="s">
        <v>2</v>
      </c>
      <c r="E3" s="2" t="s">
        <v>3</v>
      </c>
      <c r="F3" s="1" t="s">
        <v>4</v>
      </c>
      <c r="G3" s="1" t="s">
        <v>5</v>
      </c>
      <c r="H3" s="1" t="s">
        <v>6</v>
      </c>
      <c r="I3" s="1" t="s">
        <v>0</v>
      </c>
      <c r="J3" s="3" t="s">
        <v>7</v>
      </c>
      <c r="K3" s="1" t="s">
        <v>8</v>
      </c>
      <c r="L3" s="1" t="s">
        <v>9</v>
      </c>
      <c r="M3" s="1" t="s">
        <v>10</v>
      </c>
      <c r="N3" s="1" t="s">
        <v>11</v>
      </c>
      <c r="O3" s="1" t="s">
        <v>12</v>
      </c>
      <c r="P3" s="1" t="s">
        <v>13</v>
      </c>
      <c r="Q3" s="1" t="s">
        <v>14</v>
      </c>
      <c r="R3" s="4" t="s">
        <v>199</v>
      </c>
      <c r="S3" s="1" t="s">
        <v>15</v>
      </c>
    </row>
    <row r="4" spans="2:22" ht="24" x14ac:dyDescent="0.25">
      <c r="B4" s="5" t="s">
        <v>16</v>
      </c>
      <c r="C4" s="6">
        <v>1</v>
      </c>
      <c r="D4" s="7" t="s">
        <v>137</v>
      </c>
      <c r="E4" s="8" t="s">
        <v>17</v>
      </c>
      <c r="F4" s="8" t="s">
        <v>18</v>
      </c>
      <c r="G4" s="8" t="s">
        <v>19</v>
      </c>
      <c r="H4" s="9">
        <v>1700</v>
      </c>
      <c r="I4" s="10" t="s">
        <v>16</v>
      </c>
      <c r="J4" s="11" t="s">
        <v>20</v>
      </c>
      <c r="K4" s="12" t="s">
        <v>21</v>
      </c>
      <c r="L4" s="13">
        <v>0.99980000000000002</v>
      </c>
      <c r="M4" s="13">
        <v>0.99980000000000002</v>
      </c>
      <c r="N4" s="14"/>
      <c r="O4" s="15" t="s">
        <v>121</v>
      </c>
      <c r="P4" s="16">
        <v>6170446.2000000002</v>
      </c>
      <c r="Q4" s="17">
        <v>725934.85</v>
      </c>
      <c r="R4" s="16">
        <f t="shared" ref="R4:R5" si="0">P4-Q4</f>
        <v>5444511.3500000006</v>
      </c>
      <c r="S4" s="18" t="s">
        <v>198</v>
      </c>
      <c r="V4" s="16"/>
    </row>
    <row r="5" spans="2:22" x14ac:dyDescent="0.25">
      <c r="B5" s="5" t="s">
        <v>22</v>
      </c>
      <c r="C5" s="6">
        <v>2</v>
      </c>
      <c r="D5" s="7" t="s">
        <v>138</v>
      </c>
      <c r="E5" s="8" t="s">
        <v>23</v>
      </c>
      <c r="F5" s="8" t="s">
        <v>18</v>
      </c>
      <c r="G5" s="8" t="s">
        <v>19</v>
      </c>
      <c r="H5" s="9">
        <v>64</v>
      </c>
      <c r="I5" s="10" t="s">
        <v>22</v>
      </c>
      <c r="J5" s="11" t="s">
        <v>24</v>
      </c>
      <c r="K5" s="12" t="s">
        <v>25</v>
      </c>
      <c r="L5" s="13">
        <v>0.99980000000000002</v>
      </c>
      <c r="M5" s="13">
        <v>0.99980000000000002</v>
      </c>
      <c r="N5" s="19"/>
      <c r="O5" s="19"/>
      <c r="P5" s="16">
        <v>566054.78</v>
      </c>
      <c r="Q5" s="20"/>
      <c r="R5" s="16">
        <f t="shared" si="0"/>
        <v>566054.78</v>
      </c>
      <c r="S5" s="8"/>
    </row>
    <row r="6" spans="2:22" x14ac:dyDescent="0.25">
      <c r="B6" s="5" t="s">
        <v>26</v>
      </c>
      <c r="C6" s="6">
        <v>3</v>
      </c>
      <c r="D6" s="7" t="s">
        <v>139</v>
      </c>
      <c r="E6" s="9" t="s">
        <v>23</v>
      </c>
      <c r="F6" s="9" t="s">
        <v>18</v>
      </c>
      <c r="G6" s="9" t="s">
        <v>19</v>
      </c>
      <c r="H6" s="9">
        <v>64</v>
      </c>
      <c r="I6" s="21" t="s">
        <v>26</v>
      </c>
      <c r="J6" s="22" t="s">
        <v>27</v>
      </c>
      <c r="K6" s="23" t="s">
        <v>25</v>
      </c>
      <c r="L6" s="24">
        <v>0.99980000000000002</v>
      </c>
      <c r="M6" s="24">
        <v>0.99980000000000002</v>
      </c>
      <c r="N6" s="25"/>
      <c r="O6" s="25"/>
      <c r="P6" s="16">
        <v>566054.78</v>
      </c>
      <c r="Q6" s="17"/>
      <c r="R6" s="16">
        <f>P6-Q6</f>
        <v>566054.78</v>
      </c>
      <c r="S6" s="18"/>
    </row>
    <row r="7" spans="2:22" x14ac:dyDescent="0.25">
      <c r="B7" s="5" t="s">
        <v>28</v>
      </c>
      <c r="C7" s="6">
        <v>4</v>
      </c>
      <c r="D7" s="7" t="s">
        <v>140</v>
      </c>
      <c r="E7" s="8" t="s">
        <v>29</v>
      </c>
      <c r="F7" s="8" t="s">
        <v>18</v>
      </c>
      <c r="G7" s="8" t="s">
        <v>19</v>
      </c>
      <c r="H7" s="9">
        <v>64</v>
      </c>
      <c r="I7" s="10" t="s">
        <v>28</v>
      </c>
      <c r="J7" s="11" t="s">
        <v>30</v>
      </c>
      <c r="K7" s="12" t="s">
        <v>31</v>
      </c>
      <c r="L7" s="13">
        <v>0.99980000000000002</v>
      </c>
      <c r="M7" s="13">
        <v>0.99980000000000002</v>
      </c>
      <c r="N7" s="26"/>
      <c r="O7" s="25"/>
      <c r="P7" s="16">
        <v>2089981.6</v>
      </c>
      <c r="Q7" s="17"/>
      <c r="R7" s="16">
        <f t="shared" ref="R7:R42" si="1">P7-Q7</f>
        <v>2089981.6</v>
      </c>
      <c r="S7" s="18"/>
    </row>
    <row r="8" spans="2:22" x14ac:dyDescent="0.25">
      <c r="B8" s="8" t="s">
        <v>32</v>
      </c>
      <c r="C8" s="6">
        <v>5</v>
      </c>
      <c r="D8" s="7" t="s">
        <v>133</v>
      </c>
      <c r="E8" s="8" t="s">
        <v>29</v>
      </c>
      <c r="F8" s="8" t="s">
        <v>18</v>
      </c>
      <c r="G8" s="8" t="s">
        <v>19</v>
      </c>
      <c r="H8" s="9">
        <v>64</v>
      </c>
      <c r="I8" s="27" t="s">
        <v>32</v>
      </c>
      <c r="J8" s="11" t="s">
        <v>34</v>
      </c>
      <c r="K8" s="12" t="s">
        <v>31</v>
      </c>
      <c r="L8" s="13">
        <v>0.99980000000000002</v>
      </c>
      <c r="M8" s="106">
        <v>0.93100000000000005</v>
      </c>
      <c r="N8" s="14">
        <v>1</v>
      </c>
      <c r="O8" s="15" t="s">
        <v>241</v>
      </c>
      <c r="P8" s="16">
        <v>1462987.12</v>
      </c>
      <c r="Q8" s="17">
        <v>1462987.12</v>
      </c>
      <c r="R8" s="16">
        <f t="shared" si="1"/>
        <v>0</v>
      </c>
      <c r="S8" s="18" t="s">
        <v>244</v>
      </c>
    </row>
    <row r="9" spans="2:22" x14ac:dyDescent="0.25">
      <c r="B9" s="8" t="s">
        <v>35</v>
      </c>
      <c r="C9" s="6">
        <v>6</v>
      </c>
      <c r="D9" s="7" t="s">
        <v>141</v>
      </c>
      <c r="E9" s="8" t="s">
        <v>36</v>
      </c>
      <c r="F9" s="8" t="s">
        <v>18</v>
      </c>
      <c r="G9" s="8" t="s">
        <v>19</v>
      </c>
      <c r="H9" s="9">
        <v>64</v>
      </c>
      <c r="I9" s="27" t="s">
        <v>35</v>
      </c>
      <c r="J9" s="11" t="s">
        <v>37</v>
      </c>
      <c r="K9" s="12" t="s">
        <v>38</v>
      </c>
      <c r="L9" s="13">
        <v>0.99980000000000002</v>
      </c>
      <c r="M9" s="13">
        <v>0.99980000000000002</v>
      </c>
      <c r="N9" s="19"/>
      <c r="O9" s="19"/>
      <c r="P9" s="16">
        <v>2175341.96</v>
      </c>
      <c r="Q9" s="19"/>
      <c r="R9" s="16">
        <f t="shared" si="1"/>
        <v>2175341.96</v>
      </c>
      <c r="S9" s="8"/>
    </row>
    <row r="10" spans="2:22" x14ac:dyDescent="0.25">
      <c r="B10" s="8" t="s">
        <v>39</v>
      </c>
      <c r="C10" s="6">
        <v>7</v>
      </c>
      <c r="D10" s="7" t="s">
        <v>142</v>
      </c>
      <c r="E10" s="8" t="s">
        <v>40</v>
      </c>
      <c r="F10" s="8" t="s">
        <v>18</v>
      </c>
      <c r="G10" s="8" t="s">
        <v>41</v>
      </c>
      <c r="H10" s="9">
        <v>1000</v>
      </c>
      <c r="I10" s="27" t="s">
        <v>39</v>
      </c>
      <c r="J10" s="11" t="s">
        <v>20</v>
      </c>
      <c r="K10" s="12" t="s">
        <v>42</v>
      </c>
      <c r="L10" s="13">
        <v>0.99980000000000002</v>
      </c>
      <c r="M10" s="13">
        <v>0.99980000000000002</v>
      </c>
      <c r="N10" s="19"/>
      <c r="O10" s="19"/>
      <c r="P10" s="16">
        <v>1004137.5</v>
      </c>
      <c r="Q10" s="19"/>
      <c r="R10" s="16">
        <f t="shared" si="1"/>
        <v>1004137.5</v>
      </c>
      <c r="S10" s="8"/>
    </row>
    <row r="11" spans="2:22" ht="24" x14ac:dyDescent="0.25">
      <c r="B11" s="8" t="s">
        <v>43</v>
      </c>
      <c r="C11" s="6">
        <v>8</v>
      </c>
      <c r="D11" s="7" t="s">
        <v>143</v>
      </c>
      <c r="E11" s="8" t="s">
        <v>44</v>
      </c>
      <c r="F11" s="8" t="s">
        <v>18</v>
      </c>
      <c r="G11" s="8" t="s">
        <v>41</v>
      </c>
      <c r="H11" s="9">
        <v>148</v>
      </c>
      <c r="I11" s="27" t="s">
        <v>43</v>
      </c>
      <c r="J11" s="11" t="s">
        <v>45</v>
      </c>
      <c r="K11" s="12" t="s">
        <v>46</v>
      </c>
      <c r="L11" s="13">
        <v>0.99980000000000002</v>
      </c>
      <c r="M11" s="13">
        <v>0.99980000000000002</v>
      </c>
      <c r="N11" s="28"/>
      <c r="O11" s="29" t="s">
        <v>121</v>
      </c>
      <c r="P11" s="16">
        <v>1007566.2</v>
      </c>
      <c r="Q11" s="17">
        <v>136157.59</v>
      </c>
      <c r="R11" s="16">
        <f t="shared" si="1"/>
        <v>871408.61</v>
      </c>
      <c r="S11" s="18" t="s">
        <v>198</v>
      </c>
    </row>
    <row r="12" spans="2:22" x14ac:dyDescent="0.25">
      <c r="B12" s="8" t="s">
        <v>47</v>
      </c>
      <c r="C12" s="6">
        <v>9</v>
      </c>
      <c r="D12" s="7" t="s">
        <v>144</v>
      </c>
      <c r="E12" s="8" t="s">
        <v>48</v>
      </c>
      <c r="F12" s="8" t="s">
        <v>49</v>
      </c>
      <c r="G12" s="8" t="s">
        <v>41</v>
      </c>
      <c r="H12" s="9">
        <v>64</v>
      </c>
      <c r="I12" s="27" t="s">
        <v>47</v>
      </c>
      <c r="J12" s="11" t="s">
        <v>50</v>
      </c>
      <c r="K12" s="12" t="s">
        <v>51</v>
      </c>
      <c r="L12" s="13">
        <v>0.999</v>
      </c>
      <c r="M12" s="13">
        <v>0.999</v>
      </c>
      <c r="N12" s="19"/>
      <c r="O12" s="19"/>
      <c r="P12" s="16">
        <v>447320.66</v>
      </c>
      <c r="Q12" s="19"/>
      <c r="R12" s="16">
        <f t="shared" si="1"/>
        <v>447320.66</v>
      </c>
      <c r="S12" s="8"/>
    </row>
    <row r="13" spans="2:22" ht="24" x14ac:dyDescent="0.25">
      <c r="B13" s="8" t="s">
        <v>52</v>
      </c>
      <c r="C13" s="6">
        <v>10</v>
      </c>
      <c r="D13" s="7" t="s">
        <v>145</v>
      </c>
      <c r="E13" s="8" t="s">
        <v>48</v>
      </c>
      <c r="F13" s="8" t="s">
        <v>49</v>
      </c>
      <c r="G13" s="8" t="s">
        <v>41</v>
      </c>
      <c r="H13" s="9">
        <v>76</v>
      </c>
      <c r="I13" s="27" t="s">
        <v>52</v>
      </c>
      <c r="J13" s="11" t="s">
        <v>53</v>
      </c>
      <c r="K13" s="12" t="s">
        <v>51</v>
      </c>
      <c r="L13" s="13">
        <v>0.999</v>
      </c>
      <c r="M13" s="13">
        <v>0.999</v>
      </c>
      <c r="N13" s="28"/>
      <c r="O13" s="29" t="s">
        <v>121</v>
      </c>
      <c r="P13" s="16">
        <v>605198.54</v>
      </c>
      <c r="Q13" s="17">
        <v>95557.66</v>
      </c>
      <c r="R13" s="16">
        <f t="shared" si="1"/>
        <v>509640.88</v>
      </c>
      <c r="S13" s="18" t="s">
        <v>198</v>
      </c>
    </row>
    <row r="14" spans="2:22" ht="36" x14ac:dyDescent="0.25">
      <c r="B14" s="8" t="s">
        <v>54</v>
      </c>
      <c r="C14" s="6">
        <v>11</v>
      </c>
      <c r="D14" s="7" t="s">
        <v>131</v>
      </c>
      <c r="E14" s="8" t="s">
        <v>48</v>
      </c>
      <c r="F14" s="8" t="s">
        <v>49</v>
      </c>
      <c r="G14" s="8" t="s">
        <v>41</v>
      </c>
      <c r="H14" s="9">
        <v>76</v>
      </c>
      <c r="I14" s="27" t="s">
        <v>54</v>
      </c>
      <c r="J14" s="11" t="s">
        <v>56</v>
      </c>
      <c r="K14" s="12" t="s">
        <v>51</v>
      </c>
      <c r="L14" s="13">
        <v>0.999</v>
      </c>
      <c r="M14" s="106">
        <v>0.98229999999999995</v>
      </c>
      <c r="N14" s="28">
        <v>1</v>
      </c>
      <c r="O14" s="29" t="s">
        <v>239</v>
      </c>
      <c r="P14" s="16">
        <v>1973473.5</v>
      </c>
      <c r="Q14" s="17">
        <v>1973473.5</v>
      </c>
      <c r="R14" s="16">
        <f t="shared" si="1"/>
        <v>0</v>
      </c>
      <c r="S14" s="18" t="s">
        <v>243</v>
      </c>
    </row>
    <row r="15" spans="2:22" x14ac:dyDescent="0.25">
      <c r="B15" s="8" t="s">
        <v>57</v>
      </c>
      <c r="C15" s="6">
        <v>12</v>
      </c>
      <c r="D15" s="7" t="s">
        <v>146</v>
      </c>
      <c r="E15" s="8" t="s">
        <v>48</v>
      </c>
      <c r="F15" s="8" t="s">
        <v>49</v>
      </c>
      <c r="G15" s="8" t="s">
        <v>41</v>
      </c>
      <c r="H15" s="9">
        <v>64</v>
      </c>
      <c r="I15" s="27" t="s">
        <v>57</v>
      </c>
      <c r="J15" s="11" t="s">
        <v>58</v>
      </c>
      <c r="K15" s="12" t="s">
        <v>51</v>
      </c>
      <c r="L15" s="13">
        <v>0.999</v>
      </c>
      <c r="M15" s="13">
        <v>0.999</v>
      </c>
      <c r="N15" s="29"/>
      <c r="O15" s="29"/>
      <c r="P15" s="16">
        <v>552572.57999999996</v>
      </c>
      <c r="Q15" s="17"/>
      <c r="R15" s="16">
        <f t="shared" si="1"/>
        <v>552572.57999999996</v>
      </c>
      <c r="S15" s="18"/>
    </row>
    <row r="16" spans="2:22" x14ac:dyDescent="0.25">
      <c r="B16" s="8" t="s">
        <v>59</v>
      </c>
      <c r="C16" s="6">
        <v>13</v>
      </c>
      <c r="D16" s="7" t="s">
        <v>147</v>
      </c>
      <c r="E16" s="8" t="s">
        <v>60</v>
      </c>
      <c r="F16" s="8" t="s">
        <v>49</v>
      </c>
      <c r="G16" s="8" t="s">
        <v>41</v>
      </c>
      <c r="H16" s="9">
        <v>64</v>
      </c>
      <c r="I16" s="27" t="s">
        <v>59</v>
      </c>
      <c r="J16" s="11" t="s">
        <v>61</v>
      </c>
      <c r="K16" s="12" t="s">
        <v>62</v>
      </c>
      <c r="L16" s="13">
        <v>0.999</v>
      </c>
      <c r="M16" s="13">
        <v>0.999</v>
      </c>
      <c r="N16" s="29"/>
      <c r="O16" s="29"/>
      <c r="P16" s="16">
        <v>409018.19</v>
      </c>
      <c r="Q16" s="30"/>
      <c r="R16" s="16">
        <f t="shared" si="1"/>
        <v>409018.19</v>
      </c>
      <c r="S16" s="18"/>
    </row>
    <row r="17" spans="2:19" ht="24" x14ac:dyDescent="0.25">
      <c r="B17" s="8" t="s">
        <v>63</v>
      </c>
      <c r="C17" s="6">
        <v>14</v>
      </c>
      <c r="D17" s="7" t="s">
        <v>132</v>
      </c>
      <c r="E17" s="8" t="s">
        <v>60</v>
      </c>
      <c r="F17" s="8" t="s">
        <v>49</v>
      </c>
      <c r="G17" s="8" t="s">
        <v>41</v>
      </c>
      <c r="H17" s="9">
        <v>76</v>
      </c>
      <c r="I17" s="27" t="s">
        <v>63</v>
      </c>
      <c r="J17" s="11" t="s">
        <v>64</v>
      </c>
      <c r="K17" s="12" t="s">
        <v>62</v>
      </c>
      <c r="L17" s="13">
        <v>0.999</v>
      </c>
      <c r="M17" s="13">
        <v>0.999</v>
      </c>
      <c r="N17" s="31"/>
      <c r="O17" s="32" t="s">
        <v>121</v>
      </c>
      <c r="P17" s="16">
        <v>525880.53</v>
      </c>
      <c r="Q17" s="17">
        <v>83033.77</v>
      </c>
      <c r="R17" s="16">
        <f t="shared" si="1"/>
        <v>442846.76</v>
      </c>
      <c r="S17" s="18" t="s">
        <v>198</v>
      </c>
    </row>
    <row r="18" spans="2:19" x14ac:dyDescent="0.25">
      <c r="B18" s="8" t="s">
        <v>65</v>
      </c>
      <c r="C18" s="6">
        <v>15</v>
      </c>
      <c r="D18" s="7" t="s">
        <v>148</v>
      </c>
      <c r="E18" s="8" t="s">
        <v>48</v>
      </c>
      <c r="F18" s="8" t="s">
        <v>49</v>
      </c>
      <c r="G18" s="8" t="s">
        <v>41</v>
      </c>
      <c r="H18" s="9">
        <v>64</v>
      </c>
      <c r="I18" s="27" t="s">
        <v>65</v>
      </c>
      <c r="J18" s="11" t="s">
        <v>66</v>
      </c>
      <c r="K18" s="12" t="s">
        <v>51</v>
      </c>
      <c r="L18" s="13">
        <v>0.999</v>
      </c>
      <c r="M18" s="13">
        <v>0.999</v>
      </c>
      <c r="N18" s="33"/>
      <c r="O18" s="32"/>
      <c r="P18" s="16">
        <v>467449.36</v>
      </c>
      <c r="Q18" s="17"/>
      <c r="R18" s="16">
        <f t="shared" si="1"/>
        <v>467449.36</v>
      </c>
      <c r="S18" s="18"/>
    </row>
    <row r="19" spans="2:19" x14ac:dyDescent="0.25">
      <c r="B19" s="8" t="s">
        <v>67</v>
      </c>
      <c r="C19" s="6">
        <v>16</v>
      </c>
      <c r="D19" s="7" t="s">
        <v>149</v>
      </c>
      <c r="E19" s="8" t="s">
        <v>60</v>
      </c>
      <c r="F19" s="8" t="s">
        <v>49</v>
      </c>
      <c r="G19" s="8" t="s">
        <v>41</v>
      </c>
      <c r="H19" s="9">
        <v>64</v>
      </c>
      <c r="I19" s="27" t="s">
        <v>67</v>
      </c>
      <c r="J19" s="11" t="s">
        <v>69</v>
      </c>
      <c r="K19" s="12" t="s">
        <v>62</v>
      </c>
      <c r="L19" s="13">
        <v>0.999</v>
      </c>
      <c r="M19" s="13">
        <v>0.999</v>
      </c>
      <c r="N19" s="19"/>
      <c r="O19" s="19"/>
      <c r="P19" s="16">
        <v>447320.66</v>
      </c>
      <c r="Q19" s="19"/>
      <c r="R19" s="16">
        <f t="shared" si="1"/>
        <v>447320.66</v>
      </c>
      <c r="S19" s="8"/>
    </row>
    <row r="20" spans="2:19" ht="36" x14ac:dyDescent="0.25">
      <c r="B20" s="8" t="s">
        <v>70</v>
      </c>
      <c r="C20" s="6">
        <v>17</v>
      </c>
      <c r="D20" s="7" t="s">
        <v>150</v>
      </c>
      <c r="E20" s="8" t="s">
        <v>48</v>
      </c>
      <c r="F20" s="8" t="s">
        <v>49</v>
      </c>
      <c r="G20" s="8" t="s">
        <v>41</v>
      </c>
      <c r="H20" s="9">
        <v>76</v>
      </c>
      <c r="I20" s="27" t="s">
        <v>70</v>
      </c>
      <c r="J20" s="11" t="s">
        <v>71</v>
      </c>
      <c r="K20" s="12" t="s">
        <v>51</v>
      </c>
      <c r="L20" s="13">
        <v>0.999</v>
      </c>
      <c r="M20" s="106">
        <v>0.99209999999999998</v>
      </c>
      <c r="N20" s="14">
        <v>1</v>
      </c>
      <c r="O20" s="15" t="s">
        <v>238</v>
      </c>
      <c r="P20" s="16">
        <v>409018.19</v>
      </c>
      <c r="Q20" s="17">
        <f>64581.82+204509.1</f>
        <v>269090.92</v>
      </c>
      <c r="R20" s="16">
        <f t="shared" si="1"/>
        <v>139927.27000000002</v>
      </c>
      <c r="S20" s="18" t="s">
        <v>242</v>
      </c>
    </row>
    <row r="21" spans="2:19" x14ac:dyDescent="0.25">
      <c r="B21" s="8" t="s">
        <v>72</v>
      </c>
      <c r="C21" s="6">
        <v>18</v>
      </c>
      <c r="D21" s="7" t="s">
        <v>151</v>
      </c>
      <c r="E21" s="8" t="s">
        <v>48</v>
      </c>
      <c r="F21" s="8" t="s">
        <v>49</v>
      </c>
      <c r="G21" s="8" t="s">
        <v>41</v>
      </c>
      <c r="H21" s="9">
        <v>64</v>
      </c>
      <c r="I21" s="27" t="s">
        <v>72</v>
      </c>
      <c r="J21" s="11" t="s">
        <v>73</v>
      </c>
      <c r="K21" s="12" t="s">
        <v>51</v>
      </c>
      <c r="L21" s="13">
        <v>0.999</v>
      </c>
      <c r="M21" s="13">
        <v>0.999</v>
      </c>
      <c r="N21" s="19"/>
      <c r="O21" s="19"/>
      <c r="P21" s="16">
        <v>473633.64</v>
      </c>
      <c r="Q21" s="19"/>
      <c r="R21" s="16">
        <f t="shared" si="1"/>
        <v>473633.64</v>
      </c>
      <c r="S21" s="8"/>
    </row>
    <row r="22" spans="2:19" x14ac:dyDescent="0.25">
      <c r="B22" s="8" t="s">
        <v>74</v>
      </c>
      <c r="C22" s="6">
        <v>19</v>
      </c>
      <c r="D22" s="7" t="s">
        <v>152</v>
      </c>
      <c r="E22" s="8" t="s">
        <v>48</v>
      </c>
      <c r="F22" s="8" t="s">
        <v>49</v>
      </c>
      <c r="G22" s="8" t="s">
        <v>41</v>
      </c>
      <c r="H22" s="9">
        <v>64</v>
      </c>
      <c r="I22" s="27" t="s">
        <v>74</v>
      </c>
      <c r="J22" s="11" t="s">
        <v>75</v>
      </c>
      <c r="K22" s="12" t="s">
        <v>51</v>
      </c>
      <c r="L22" s="13">
        <v>0.999</v>
      </c>
      <c r="M22" s="13">
        <v>0.999</v>
      </c>
      <c r="N22" s="19"/>
      <c r="O22" s="19"/>
      <c r="P22" s="16">
        <v>447320.66</v>
      </c>
      <c r="Q22" s="19"/>
      <c r="R22" s="16">
        <f t="shared" si="1"/>
        <v>447320.66</v>
      </c>
      <c r="S22" s="8"/>
    </row>
    <row r="23" spans="2:19" x14ac:dyDescent="0.25">
      <c r="B23" s="8" t="s">
        <v>76</v>
      </c>
      <c r="C23" s="6">
        <v>20</v>
      </c>
      <c r="D23" s="7" t="s">
        <v>153</v>
      </c>
      <c r="E23" s="8" t="s">
        <v>48</v>
      </c>
      <c r="F23" s="8" t="s">
        <v>49</v>
      </c>
      <c r="G23" s="8" t="s">
        <v>41</v>
      </c>
      <c r="H23" s="9">
        <v>64</v>
      </c>
      <c r="I23" s="27" t="s">
        <v>76</v>
      </c>
      <c r="J23" s="11" t="s">
        <v>77</v>
      </c>
      <c r="K23" s="12" t="s">
        <v>51</v>
      </c>
      <c r="L23" s="13">
        <v>0.999</v>
      </c>
      <c r="M23" s="13">
        <v>0.999</v>
      </c>
      <c r="N23" s="19"/>
      <c r="O23" s="19"/>
      <c r="P23" s="16">
        <v>447320.66</v>
      </c>
      <c r="Q23" s="19"/>
      <c r="R23" s="16">
        <f t="shared" si="1"/>
        <v>447320.66</v>
      </c>
      <c r="S23" s="8"/>
    </row>
    <row r="24" spans="2:19" ht="24" x14ac:dyDescent="0.25">
      <c r="B24" s="8" t="s">
        <v>78</v>
      </c>
      <c r="C24" s="6">
        <v>21</v>
      </c>
      <c r="D24" s="7" t="s">
        <v>154</v>
      </c>
      <c r="E24" s="8" t="s">
        <v>60</v>
      </c>
      <c r="F24" s="8" t="s">
        <v>49</v>
      </c>
      <c r="G24" s="8" t="s">
        <v>41</v>
      </c>
      <c r="H24" s="9">
        <v>76</v>
      </c>
      <c r="I24" s="27" t="s">
        <v>78</v>
      </c>
      <c r="J24" s="11" t="s">
        <v>79</v>
      </c>
      <c r="K24" s="12" t="s">
        <v>62</v>
      </c>
      <c r="L24" s="13">
        <v>0.999</v>
      </c>
      <c r="M24" s="13">
        <v>0.999</v>
      </c>
      <c r="N24" s="19"/>
      <c r="O24" s="25" t="s">
        <v>121</v>
      </c>
      <c r="P24" s="16">
        <v>447320.66</v>
      </c>
      <c r="Q24" s="17">
        <v>70629.58</v>
      </c>
      <c r="R24" s="16">
        <f t="shared" si="1"/>
        <v>376691.07999999996</v>
      </c>
      <c r="S24" s="18" t="s">
        <v>198</v>
      </c>
    </row>
    <row r="25" spans="2:19" ht="24" x14ac:dyDescent="0.25">
      <c r="B25" s="8" t="s">
        <v>80</v>
      </c>
      <c r="C25" s="6">
        <v>22</v>
      </c>
      <c r="D25" s="7" t="s">
        <v>130</v>
      </c>
      <c r="E25" s="8" t="s">
        <v>60</v>
      </c>
      <c r="F25" s="8" t="s">
        <v>49</v>
      </c>
      <c r="G25" s="8" t="s">
        <v>41</v>
      </c>
      <c r="H25" s="9">
        <v>76</v>
      </c>
      <c r="I25" s="27" t="s">
        <v>80</v>
      </c>
      <c r="J25" s="11" t="s">
        <v>81</v>
      </c>
      <c r="K25" s="12" t="s">
        <v>62</v>
      </c>
      <c r="L25" s="13">
        <v>0.999</v>
      </c>
      <c r="M25" s="13">
        <v>0.999</v>
      </c>
      <c r="N25" s="26"/>
      <c r="O25" s="25" t="s">
        <v>121</v>
      </c>
      <c r="P25" s="16">
        <v>525880.53</v>
      </c>
      <c r="Q25" s="17">
        <v>74730.39</v>
      </c>
      <c r="R25" s="16">
        <f t="shared" si="1"/>
        <v>451150.14</v>
      </c>
      <c r="S25" s="18" t="s">
        <v>198</v>
      </c>
    </row>
    <row r="26" spans="2:19" ht="24" x14ac:dyDescent="0.25">
      <c r="B26" s="8" t="s">
        <v>82</v>
      </c>
      <c r="C26" s="6">
        <v>23</v>
      </c>
      <c r="D26" s="7" t="s">
        <v>155</v>
      </c>
      <c r="E26" s="8" t="s">
        <v>48</v>
      </c>
      <c r="F26" s="8" t="s">
        <v>49</v>
      </c>
      <c r="G26" s="8" t="s">
        <v>41</v>
      </c>
      <c r="H26" s="9">
        <v>76</v>
      </c>
      <c r="I26" s="27" t="s">
        <v>82</v>
      </c>
      <c r="J26" s="11" t="s">
        <v>83</v>
      </c>
      <c r="K26" s="12" t="s">
        <v>51</v>
      </c>
      <c r="L26" s="13">
        <v>0.999</v>
      </c>
      <c r="M26" s="13">
        <v>0.999</v>
      </c>
      <c r="N26" s="19"/>
      <c r="O26" s="25" t="s">
        <v>121</v>
      </c>
      <c r="P26" s="16">
        <v>473633.64</v>
      </c>
      <c r="Q26" s="17">
        <v>74784.259999999995</v>
      </c>
      <c r="R26" s="16">
        <f t="shared" si="1"/>
        <v>398849.38</v>
      </c>
      <c r="S26" s="18" t="s">
        <v>198</v>
      </c>
    </row>
    <row r="27" spans="2:19" ht="24" x14ac:dyDescent="0.25">
      <c r="B27" s="8" t="s">
        <v>84</v>
      </c>
      <c r="C27" s="6">
        <v>24</v>
      </c>
      <c r="D27" s="7" t="s">
        <v>156</v>
      </c>
      <c r="E27" s="8" t="s">
        <v>60</v>
      </c>
      <c r="F27" s="8" t="s">
        <v>49</v>
      </c>
      <c r="G27" s="8" t="s">
        <v>41</v>
      </c>
      <c r="H27" s="9">
        <v>76</v>
      </c>
      <c r="I27" s="27" t="s">
        <v>84</v>
      </c>
      <c r="J27" s="11" t="s">
        <v>85</v>
      </c>
      <c r="K27" s="12" t="s">
        <v>62</v>
      </c>
      <c r="L27" s="13">
        <v>0.999</v>
      </c>
      <c r="M27" s="13">
        <v>0.999</v>
      </c>
      <c r="N27" s="19"/>
      <c r="O27" s="25" t="s">
        <v>121</v>
      </c>
      <c r="P27" s="16">
        <v>525880.53</v>
      </c>
      <c r="Q27" s="17">
        <v>83033.77</v>
      </c>
      <c r="R27" s="16">
        <f t="shared" si="1"/>
        <v>442846.76</v>
      </c>
      <c r="S27" s="18" t="s">
        <v>198</v>
      </c>
    </row>
    <row r="28" spans="2:19" ht="24" x14ac:dyDescent="0.25">
      <c r="B28" s="8" t="s">
        <v>86</v>
      </c>
      <c r="C28" s="6">
        <v>25</v>
      </c>
      <c r="D28" s="7" t="s">
        <v>129</v>
      </c>
      <c r="E28" s="8" t="s">
        <v>87</v>
      </c>
      <c r="F28" s="8" t="s">
        <v>49</v>
      </c>
      <c r="G28" s="8" t="s">
        <v>41</v>
      </c>
      <c r="H28" s="9">
        <v>76</v>
      </c>
      <c r="I28" s="27" t="s">
        <v>86</v>
      </c>
      <c r="J28" s="11" t="s">
        <v>88</v>
      </c>
      <c r="K28" s="12" t="s">
        <v>89</v>
      </c>
      <c r="L28" s="13">
        <v>0.999</v>
      </c>
      <c r="M28" s="13">
        <v>0.999</v>
      </c>
      <c r="N28" s="14"/>
      <c r="O28" s="15" t="s">
        <v>121</v>
      </c>
      <c r="P28" s="16">
        <v>597563.55000000005</v>
      </c>
      <c r="Q28" s="17">
        <v>94352.14</v>
      </c>
      <c r="R28" s="16">
        <f t="shared" si="1"/>
        <v>503211.41000000003</v>
      </c>
      <c r="S28" s="18" t="s">
        <v>198</v>
      </c>
    </row>
    <row r="29" spans="2:19" x14ac:dyDescent="0.25">
      <c r="B29" s="8" t="s">
        <v>90</v>
      </c>
      <c r="C29" s="6">
        <v>26</v>
      </c>
      <c r="D29" s="7" t="s">
        <v>157</v>
      </c>
      <c r="E29" s="8" t="s">
        <v>48</v>
      </c>
      <c r="F29" s="8" t="s">
        <v>49</v>
      </c>
      <c r="G29" s="8" t="s">
        <v>41</v>
      </c>
      <c r="H29" s="9">
        <v>64</v>
      </c>
      <c r="I29" s="27" t="s">
        <v>90</v>
      </c>
      <c r="J29" s="11" t="s">
        <v>91</v>
      </c>
      <c r="K29" s="12" t="s">
        <v>51</v>
      </c>
      <c r="L29" s="13">
        <v>0.999</v>
      </c>
      <c r="M29" s="13">
        <v>0.999</v>
      </c>
      <c r="N29" s="19"/>
      <c r="O29" s="19"/>
      <c r="P29" s="16">
        <v>447320.66</v>
      </c>
      <c r="Q29" s="19"/>
      <c r="R29" s="16">
        <f t="shared" si="1"/>
        <v>447320.66</v>
      </c>
      <c r="S29" s="8"/>
    </row>
    <row r="30" spans="2:19" x14ac:dyDescent="0.25">
      <c r="B30" s="8" t="s">
        <v>92</v>
      </c>
      <c r="C30" s="6">
        <v>27</v>
      </c>
      <c r="D30" s="7" t="s">
        <v>158</v>
      </c>
      <c r="E30" s="8" t="s">
        <v>48</v>
      </c>
      <c r="F30" s="8" t="s">
        <v>49</v>
      </c>
      <c r="G30" s="8" t="s">
        <v>41</v>
      </c>
      <c r="H30" s="9">
        <v>64</v>
      </c>
      <c r="I30" s="27" t="s">
        <v>92</v>
      </c>
      <c r="J30" s="11" t="s">
        <v>93</v>
      </c>
      <c r="K30" s="12" t="s">
        <v>51</v>
      </c>
      <c r="L30" s="13">
        <v>0.999</v>
      </c>
      <c r="M30" s="13">
        <v>0.999</v>
      </c>
      <c r="N30" s="33"/>
      <c r="O30" s="32"/>
      <c r="P30" s="16">
        <v>447320.66</v>
      </c>
      <c r="Q30" s="30"/>
      <c r="R30" s="16">
        <f t="shared" si="1"/>
        <v>447320.66</v>
      </c>
      <c r="S30" s="18"/>
    </row>
    <row r="31" spans="2:19" x14ac:dyDescent="0.25">
      <c r="B31" s="8" t="s">
        <v>94</v>
      </c>
      <c r="C31" s="6">
        <v>28</v>
      </c>
      <c r="D31" s="7" t="s">
        <v>159</v>
      </c>
      <c r="E31" s="8" t="s">
        <v>48</v>
      </c>
      <c r="F31" s="8" t="s">
        <v>49</v>
      </c>
      <c r="G31" s="8" t="s">
        <v>41</v>
      </c>
      <c r="H31" s="9">
        <v>64</v>
      </c>
      <c r="I31" s="27" t="s">
        <v>94</v>
      </c>
      <c r="J31" s="11" t="s">
        <v>95</v>
      </c>
      <c r="K31" s="12" t="s">
        <v>51</v>
      </c>
      <c r="L31" s="13">
        <v>0.999</v>
      </c>
      <c r="M31" s="13">
        <v>0.999</v>
      </c>
      <c r="N31" s="29"/>
      <c r="O31" s="29"/>
      <c r="P31" s="16">
        <v>447320.66</v>
      </c>
      <c r="Q31" s="17"/>
      <c r="R31" s="16">
        <f t="shared" si="1"/>
        <v>447320.66</v>
      </c>
      <c r="S31" s="18"/>
    </row>
    <row r="32" spans="2:19" ht="48" x14ac:dyDescent="0.25">
      <c r="B32" s="8" t="s">
        <v>96</v>
      </c>
      <c r="C32" s="6">
        <v>29</v>
      </c>
      <c r="D32" s="7" t="s">
        <v>160</v>
      </c>
      <c r="E32" s="8" t="s">
        <v>60</v>
      </c>
      <c r="F32" s="8" t="s">
        <v>49</v>
      </c>
      <c r="G32" s="8" t="s">
        <v>41</v>
      </c>
      <c r="H32" s="9">
        <v>64</v>
      </c>
      <c r="I32" s="27" t="s">
        <v>96</v>
      </c>
      <c r="J32" s="11" t="s">
        <v>187</v>
      </c>
      <c r="K32" s="12" t="s">
        <v>62</v>
      </c>
      <c r="L32" s="13">
        <v>0.999</v>
      </c>
      <c r="M32" s="13">
        <v>0</v>
      </c>
      <c r="N32" s="29"/>
      <c r="O32" s="29" t="s">
        <v>121</v>
      </c>
      <c r="P32" s="16">
        <v>467449.36</v>
      </c>
      <c r="Q32" s="17">
        <v>467449.36</v>
      </c>
      <c r="R32" s="16">
        <f t="shared" si="1"/>
        <v>0</v>
      </c>
      <c r="S32" s="18" t="s">
        <v>247</v>
      </c>
    </row>
    <row r="33" spans="2:19" x14ac:dyDescent="0.25">
      <c r="B33" s="8" t="s">
        <v>97</v>
      </c>
      <c r="C33" s="6">
        <v>30</v>
      </c>
      <c r="D33" s="7" t="s">
        <v>161</v>
      </c>
      <c r="E33" s="8" t="s">
        <v>87</v>
      </c>
      <c r="F33" s="8" t="s">
        <v>49</v>
      </c>
      <c r="G33" s="8" t="s">
        <v>41</v>
      </c>
      <c r="H33" s="9">
        <v>64</v>
      </c>
      <c r="I33" s="27" t="s">
        <v>97</v>
      </c>
      <c r="J33" s="11" t="s">
        <v>98</v>
      </c>
      <c r="K33" s="12" t="s">
        <v>89</v>
      </c>
      <c r="L33" s="13">
        <v>0.999</v>
      </c>
      <c r="M33" s="13">
        <v>0.999</v>
      </c>
      <c r="N33" s="19"/>
      <c r="O33" s="19"/>
      <c r="P33" s="16">
        <v>517888.41</v>
      </c>
      <c r="Q33" s="19"/>
      <c r="R33" s="16">
        <f t="shared" si="1"/>
        <v>517888.41</v>
      </c>
      <c r="S33" s="8"/>
    </row>
    <row r="34" spans="2:19" x14ac:dyDescent="0.25">
      <c r="B34" s="8" t="s">
        <v>99</v>
      </c>
      <c r="C34" s="6">
        <v>31</v>
      </c>
      <c r="D34" s="7" t="s">
        <v>162</v>
      </c>
      <c r="E34" s="8" t="s">
        <v>48</v>
      </c>
      <c r="F34" s="8" t="s">
        <v>49</v>
      </c>
      <c r="G34" s="8" t="s">
        <v>41</v>
      </c>
      <c r="H34" s="9">
        <v>64</v>
      </c>
      <c r="I34" s="27" t="s">
        <v>99</v>
      </c>
      <c r="J34" s="11" t="s">
        <v>100</v>
      </c>
      <c r="K34" s="12" t="s">
        <v>51</v>
      </c>
      <c r="L34" s="13">
        <v>0.999</v>
      </c>
      <c r="M34" s="13">
        <v>0.999</v>
      </c>
      <c r="N34" s="14"/>
      <c r="O34" s="15"/>
      <c r="P34" s="16">
        <v>473633.64</v>
      </c>
      <c r="Q34" s="34"/>
      <c r="R34" s="16">
        <f t="shared" si="1"/>
        <v>473633.64</v>
      </c>
      <c r="S34" s="18"/>
    </row>
    <row r="35" spans="2:19" x14ac:dyDescent="0.25">
      <c r="B35" s="8" t="s">
        <v>101</v>
      </c>
      <c r="C35" s="6">
        <v>32</v>
      </c>
      <c r="D35" s="7" t="s">
        <v>163</v>
      </c>
      <c r="E35" s="8" t="s">
        <v>87</v>
      </c>
      <c r="F35" s="8" t="s">
        <v>49</v>
      </c>
      <c r="G35" s="8" t="s">
        <v>41</v>
      </c>
      <c r="H35" s="9">
        <v>64</v>
      </c>
      <c r="I35" s="27" t="s">
        <v>101</v>
      </c>
      <c r="J35" s="11" t="s">
        <v>102</v>
      </c>
      <c r="K35" s="12" t="s">
        <v>89</v>
      </c>
      <c r="L35" s="13">
        <v>0.999</v>
      </c>
      <c r="M35" s="13">
        <v>0.999</v>
      </c>
      <c r="N35" s="29"/>
      <c r="O35" s="29"/>
      <c r="P35" s="16">
        <v>3983757</v>
      </c>
      <c r="Q35" s="34"/>
      <c r="R35" s="16">
        <f t="shared" si="1"/>
        <v>3983757</v>
      </c>
      <c r="S35" s="18"/>
    </row>
    <row r="36" spans="2:19" x14ac:dyDescent="0.25">
      <c r="B36" s="8" t="s">
        <v>103</v>
      </c>
      <c r="C36" s="6">
        <v>33</v>
      </c>
      <c r="D36" s="7" t="s">
        <v>164</v>
      </c>
      <c r="E36" s="8" t="s">
        <v>87</v>
      </c>
      <c r="F36" s="8" t="s">
        <v>49</v>
      </c>
      <c r="G36" s="8" t="s">
        <v>41</v>
      </c>
      <c r="H36" s="9">
        <v>64</v>
      </c>
      <c r="I36" s="27" t="s">
        <v>103</v>
      </c>
      <c r="J36" s="11" t="s">
        <v>104</v>
      </c>
      <c r="K36" s="12" t="s">
        <v>89</v>
      </c>
      <c r="L36" s="13">
        <v>0.999</v>
      </c>
      <c r="M36" s="13">
        <v>0.999</v>
      </c>
      <c r="N36" s="18"/>
      <c r="O36" s="29"/>
      <c r="P36" s="16">
        <v>1872365.79</v>
      </c>
      <c r="Q36" s="34"/>
      <c r="R36" s="16">
        <f t="shared" si="1"/>
        <v>1872365.79</v>
      </c>
      <c r="S36" s="19"/>
    </row>
    <row r="37" spans="2:19" x14ac:dyDescent="0.25">
      <c r="B37" s="35" t="s">
        <v>105</v>
      </c>
      <c r="C37" s="6">
        <v>34</v>
      </c>
      <c r="D37" s="7" t="s">
        <v>165</v>
      </c>
      <c r="E37" s="8" t="s">
        <v>87</v>
      </c>
      <c r="F37" s="8" t="s">
        <v>49</v>
      </c>
      <c r="G37" s="8" t="s">
        <v>41</v>
      </c>
      <c r="H37" s="9">
        <v>64</v>
      </c>
      <c r="I37" s="43" t="s">
        <v>106</v>
      </c>
      <c r="J37" s="11" t="s">
        <v>107</v>
      </c>
      <c r="K37" s="12" t="s">
        <v>89</v>
      </c>
      <c r="L37" s="13">
        <v>0.999</v>
      </c>
      <c r="M37" s="13">
        <v>0.999</v>
      </c>
      <c r="N37" s="29"/>
      <c r="O37" s="29"/>
      <c r="P37" s="16">
        <v>956101.68</v>
      </c>
      <c r="Q37" s="34"/>
      <c r="R37" s="16">
        <f t="shared" si="1"/>
        <v>956101.68</v>
      </c>
      <c r="S37" s="8"/>
    </row>
    <row r="38" spans="2:19" x14ac:dyDescent="0.25">
      <c r="B38" s="8" t="s">
        <v>108</v>
      </c>
      <c r="C38" s="6">
        <v>35</v>
      </c>
      <c r="D38" s="7" t="s">
        <v>166</v>
      </c>
      <c r="E38" s="8" t="s">
        <v>48</v>
      </c>
      <c r="F38" s="8" t="s">
        <v>49</v>
      </c>
      <c r="G38" s="8" t="s">
        <v>41</v>
      </c>
      <c r="H38" s="9">
        <v>64</v>
      </c>
      <c r="I38" s="27" t="s">
        <v>108</v>
      </c>
      <c r="J38" s="11" t="s">
        <v>109</v>
      </c>
      <c r="K38" s="12" t="s">
        <v>51</v>
      </c>
      <c r="L38" s="13">
        <v>0.999</v>
      </c>
      <c r="M38" s="13">
        <v>0.999</v>
      </c>
      <c r="N38" s="29"/>
      <c r="O38" s="29"/>
      <c r="P38" s="16">
        <v>473633.64</v>
      </c>
      <c r="Q38" s="34"/>
      <c r="R38" s="16">
        <f t="shared" si="1"/>
        <v>473633.64</v>
      </c>
      <c r="S38" s="8"/>
    </row>
    <row r="39" spans="2:19" x14ac:dyDescent="0.25">
      <c r="B39" s="8" t="s">
        <v>110</v>
      </c>
      <c r="C39" s="6">
        <v>36</v>
      </c>
      <c r="D39" s="7" t="s">
        <v>167</v>
      </c>
      <c r="E39" s="8" t="s">
        <v>60</v>
      </c>
      <c r="F39" s="8" t="s">
        <v>49</v>
      </c>
      <c r="G39" s="8" t="s">
        <v>41</v>
      </c>
      <c r="H39" s="9">
        <v>64</v>
      </c>
      <c r="I39" s="27" t="s">
        <v>110</v>
      </c>
      <c r="J39" s="11" t="s">
        <v>111</v>
      </c>
      <c r="K39" s="12" t="s">
        <v>62</v>
      </c>
      <c r="L39" s="13">
        <v>0.999</v>
      </c>
      <c r="M39" s="13">
        <v>0.999</v>
      </c>
      <c r="N39" s="29"/>
      <c r="O39" s="29"/>
      <c r="P39" s="16">
        <v>2103522.12</v>
      </c>
      <c r="Q39" s="34"/>
      <c r="R39" s="16">
        <f t="shared" si="1"/>
        <v>2103522.12</v>
      </c>
      <c r="S39" s="8"/>
    </row>
    <row r="40" spans="2:19" x14ac:dyDescent="0.25">
      <c r="B40" s="8" t="s">
        <v>112</v>
      </c>
      <c r="C40" s="6">
        <v>37</v>
      </c>
      <c r="D40" s="7" t="s">
        <v>134</v>
      </c>
      <c r="E40" s="8" t="s">
        <v>113</v>
      </c>
      <c r="F40" s="8" t="s">
        <v>114</v>
      </c>
      <c r="G40" s="8" t="s">
        <v>41</v>
      </c>
      <c r="H40" s="8">
        <v>10</v>
      </c>
      <c r="I40" s="9" t="s">
        <v>112</v>
      </c>
      <c r="J40" s="11" t="s">
        <v>115</v>
      </c>
      <c r="K40" s="12" t="s">
        <v>116</v>
      </c>
      <c r="L40" s="13">
        <v>0.996</v>
      </c>
      <c r="M40" s="13">
        <v>0.996</v>
      </c>
      <c r="N40" s="29"/>
      <c r="O40" s="29"/>
      <c r="P40" s="16">
        <v>3703077.56</v>
      </c>
      <c r="Q40" s="34"/>
      <c r="R40" s="16">
        <f t="shared" si="1"/>
        <v>3703077.56</v>
      </c>
      <c r="S40" s="8"/>
    </row>
    <row r="41" spans="2:19" x14ac:dyDescent="0.25">
      <c r="B41" s="8" t="s">
        <v>117</v>
      </c>
      <c r="C41" s="6">
        <v>38</v>
      </c>
      <c r="D41" s="7" t="s">
        <v>135</v>
      </c>
      <c r="E41" s="8" t="s">
        <v>113</v>
      </c>
      <c r="F41" s="8" t="s">
        <v>114</v>
      </c>
      <c r="G41" s="8" t="s">
        <v>41</v>
      </c>
      <c r="H41" s="9">
        <v>10</v>
      </c>
      <c r="I41" s="27" t="s">
        <v>117</v>
      </c>
      <c r="J41" s="11" t="s">
        <v>118</v>
      </c>
      <c r="K41" s="12" t="s">
        <v>116</v>
      </c>
      <c r="L41" s="13">
        <v>0.996</v>
      </c>
      <c r="M41" s="13">
        <v>0.996</v>
      </c>
      <c r="N41" s="29"/>
      <c r="O41" s="29"/>
      <c r="P41" s="16">
        <v>3703077.56</v>
      </c>
      <c r="Q41" s="34"/>
      <c r="R41" s="16">
        <f t="shared" si="1"/>
        <v>3703077.56</v>
      </c>
      <c r="S41" s="8"/>
    </row>
    <row r="42" spans="2:19" x14ac:dyDescent="0.25">
      <c r="B42" s="8" t="s">
        <v>119</v>
      </c>
      <c r="C42" s="6">
        <v>39</v>
      </c>
      <c r="D42" s="7" t="s">
        <v>136</v>
      </c>
      <c r="E42" s="8" t="s">
        <v>113</v>
      </c>
      <c r="F42" s="8" t="s">
        <v>114</v>
      </c>
      <c r="G42" s="8" t="s">
        <v>41</v>
      </c>
      <c r="H42" s="9">
        <v>10</v>
      </c>
      <c r="I42" s="27" t="s">
        <v>119</v>
      </c>
      <c r="J42" s="11" t="s">
        <v>120</v>
      </c>
      <c r="K42" s="12" t="s">
        <v>116</v>
      </c>
      <c r="L42" s="13">
        <v>0.996</v>
      </c>
      <c r="M42" s="13">
        <v>0.996</v>
      </c>
      <c r="N42" s="29"/>
      <c r="O42" s="29"/>
      <c r="P42" s="16">
        <v>3703077.56</v>
      </c>
      <c r="Q42" s="34"/>
      <c r="R42" s="16">
        <f t="shared" si="1"/>
        <v>3703077.56</v>
      </c>
      <c r="S42" s="8"/>
    </row>
    <row r="43" spans="2:19" ht="14.45" customHeight="1" x14ac:dyDescent="0.25">
      <c r="B43" s="40" t="s">
        <v>121</v>
      </c>
      <c r="C43" s="6">
        <v>40</v>
      </c>
      <c r="D43" s="42" t="s">
        <v>121</v>
      </c>
      <c r="E43" s="41" t="s">
        <v>122</v>
      </c>
      <c r="F43" s="8" t="s">
        <v>121</v>
      </c>
      <c r="G43" s="8" t="s">
        <v>121</v>
      </c>
      <c r="H43" s="8" t="s">
        <v>121</v>
      </c>
      <c r="I43" s="8" t="s">
        <v>121</v>
      </c>
      <c r="J43" s="8" t="s">
        <v>121</v>
      </c>
      <c r="K43" s="12" t="s">
        <v>172</v>
      </c>
      <c r="L43" s="6" t="s">
        <v>121</v>
      </c>
      <c r="M43" s="6" t="s">
        <v>121</v>
      </c>
      <c r="N43" s="8"/>
      <c r="O43" s="29"/>
      <c r="P43" s="16">
        <v>0</v>
      </c>
      <c r="Q43" s="34"/>
      <c r="R43" s="16">
        <f t="shared" ref="R43:R57" si="2">P43-Q43</f>
        <v>0</v>
      </c>
      <c r="S43" s="8"/>
    </row>
    <row r="44" spans="2:19" ht="14.45" customHeight="1" x14ac:dyDescent="0.25">
      <c r="B44" s="40" t="s">
        <v>121</v>
      </c>
      <c r="C44" s="6">
        <v>41</v>
      </c>
      <c r="D44" s="42" t="s">
        <v>121</v>
      </c>
      <c r="E44" s="41" t="s">
        <v>123</v>
      </c>
      <c r="F44" s="8" t="s">
        <v>121</v>
      </c>
      <c r="G44" s="8" t="s">
        <v>121</v>
      </c>
      <c r="H44" s="8" t="s">
        <v>121</v>
      </c>
      <c r="I44" s="8" t="s">
        <v>121</v>
      </c>
      <c r="J44" s="8" t="s">
        <v>121</v>
      </c>
      <c r="K44" s="12" t="s">
        <v>173</v>
      </c>
      <c r="L44" s="6" t="s">
        <v>121</v>
      </c>
      <c r="M44" s="6" t="s">
        <v>121</v>
      </c>
      <c r="N44" s="8"/>
      <c r="O44" s="29"/>
      <c r="P44" s="16">
        <v>0</v>
      </c>
      <c r="Q44" s="34"/>
      <c r="R44" s="16">
        <f t="shared" si="2"/>
        <v>0</v>
      </c>
      <c r="S44" s="8"/>
    </row>
    <row r="45" spans="2:19" ht="14.45" customHeight="1" x14ac:dyDescent="0.25">
      <c r="B45" s="40" t="s">
        <v>121</v>
      </c>
      <c r="C45" s="6">
        <v>42</v>
      </c>
      <c r="D45" s="42" t="s">
        <v>121</v>
      </c>
      <c r="E45" s="41" t="s">
        <v>124</v>
      </c>
      <c r="F45" s="8" t="s">
        <v>121</v>
      </c>
      <c r="G45" s="8" t="s">
        <v>121</v>
      </c>
      <c r="H45" s="8" t="s">
        <v>121</v>
      </c>
      <c r="I45" s="8" t="s">
        <v>121</v>
      </c>
      <c r="J45" s="8" t="s">
        <v>121</v>
      </c>
      <c r="K45" s="12" t="s">
        <v>174</v>
      </c>
      <c r="L45" s="6" t="s">
        <v>121</v>
      </c>
      <c r="M45" s="6" t="s">
        <v>121</v>
      </c>
      <c r="N45" s="8"/>
      <c r="O45" s="29"/>
      <c r="P45" s="16">
        <v>0</v>
      </c>
      <c r="Q45" s="34"/>
      <c r="R45" s="16">
        <f t="shared" si="2"/>
        <v>0</v>
      </c>
      <c r="S45" s="8"/>
    </row>
    <row r="46" spans="2:19" ht="14.45" customHeight="1" x14ac:dyDescent="0.25">
      <c r="B46" s="40" t="s">
        <v>121</v>
      </c>
      <c r="C46" s="6">
        <v>43</v>
      </c>
      <c r="D46" s="42" t="s">
        <v>121</v>
      </c>
      <c r="E46" s="41" t="s">
        <v>125</v>
      </c>
      <c r="F46" s="8" t="s">
        <v>121</v>
      </c>
      <c r="G46" s="8" t="s">
        <v>121</v>
      </c>
      <c r="H46" s="8" t="s">
        <v>121</v>
      </c>
      <c r="I46" s="8" t="s">
        <v>121</v>
      </c>
      <c r="J46" s="8" t="s">
        <v>121</v>
      </c>
      <c r="K46" s="12" t="s">
        <v>175</v>
      </c>
      <c r="L46" s="6" t="s">
        <v>121</v>
      </c>
      <c r="M46" s="6" t="s">
        <v>121</v>
      </c>
      <c r="N46" s="8"/>
      <c r="O46" s="29"/>
      <c r="P46" s="16">
        <v>0</v>
      </c>
      <c r="Q46" s="34"/>
      <c r="R46" s="16">
        <f t="shared" si="2"/>
        <v>0</v>
      </c>
      <c r="S46" s="8"/>
    </row>
    <row r="47" spans="2:19" ht="14.45" customHeight="1" x14ac:dyDescent="0.25">
      <c r="B47" s="10" t="s">
        <v>16</v>
      </c>
      <c r="C47" s="6">
        <v>44</v>
      </c>
      <c r="D47" s="7" t="s">
        <v>137</v>
      </c>
      <c r="E47" s="41" t="s">
        <v>176</v>
      </c>
      <c r="F47" s="8" t="s">
        <v>121</v>
      </c>
      <c r="G47" s="8" t="s">
        <v>19</v>
      </c>
      <c r="H47" s="8">
        <v>700</v>
      </c>
      <c r="I47" s="10" t="s">
        <v>16</v>
      </c>
      <c r="J47" s="11" t="s">
        <v>20</v>
      </c>
      <c r="K47" s="12" t="s">
        <v>177</v>
      </c>
      <c r="L47" s="6" t="s">
        <v>121</v>
      </c>
      <c r="M47" s="6" t="s">
        <v>121</v>
      </c>
      <c r="N47" s="8"/>
      <c r="O47" s="29"/>
      <c r="P47" s="16">
        <v>0</v>
      </c>
      <c r="Q47" s="34"/>
      <c r="R47" s="16">
        <f t="shared" si="2"/>
        <v>0</v>
      </c>
      <c r="S47" s="8"/>
    </row>
    <row r="48" spans="2:19" ht="14.45" customHeight="1" x14ac:dyDescent="0.25">
      <c r="B48" s="8" t="s">
        <v>43</v>
      </c>
      <c r="C48" s="6">
        <v>45</v>
      </c>
      <c r="D48" s="7" t="s">
        <v>143</v>
      </c>
      <c r="E48" s="41" t="s">
        <v>178</v>
      </c>
      <c r="F48" s="8" t="s">
        <v>121</v>
      </c>
      <c r="G48" s="8" t="s">
        <v>41</v>
      </c>
      <c r="H48" s="8">
        <v>20</v>
      </c>
      <c r="I48" s="8" t="s">
        <v>43</v>
      </c>
      <c r="J48" s="11" t="s">
        <v>45</v>
      </c>
      <c r="K48" s="12" t="s">
        <v>179</v>
      </c>
      <c r="L48" s="6" t="s">
        <v>121</v>
      </c>
      <c r="M48" s="6" t="s">
        <v>121</v>
      </c>
      <c r="N48" s="8"/>
      <c r="O48" s="29"/>
      <c r="P48" s="16">
        <v>0</v>
      </c>
      <c r="Q48" s="34"/>
      <c r="R48" s="16">
        <f t="shared" si="2"/>
        <v>0</v>
      </c>
      <c r="S48" s="8"/>
    </row>
    <row r="49" spans="1:19" ht="14.45" customHeight="1" x14ac:dyDescent="0.25">
      <c r="B49" s="8" t="s">
        <v>52</v>
      </c>
      <c r="C49" s="6">
        <v>46</v>
      </c>
      <c r="D49" s="7" t="s">
        <v>145</v>
      </c>
      <c r="E49" s="41" t="s">
        <v>180</v>
      </c>
      <c r="F49" s="8" t="s">
        <v>121</v>
      </c>
      <c r="G49" s="8" t="s">
        <v>41</v>
      </c>
      <c r="H49" s="8">
        <v>12</v>
      </c>
      <c r="I49" s="8" t="s">
        <v>52</v>
      </c>
      <c r="J49" s="11" t="s">
        <v>53</v>
      </c>
      <c r="K49" s="12" t="s">
        <v>181</v>
      </c>
      <c r="L49" s="6" t="s">
        <v>121</v>
      </c>
      <c r="M49" s="6" t="s">
        <v>121</v>
      </c>
      <c r="N49" s="8"/>
      <c r="O49" s="29"/>
      <c r="P49" s="16">
        <v>0</v>
      </c>
      <c r="Q49" s="34"/>
      <c r="R49" s="16">
        <f t="shared" si="2"/>
        <v>0</v>
      </c>
      <c r="S49" s="8"/>
    </row>
    <row r="50" spans="1:19" ht="14.45" customHeight="1" x14ac:dyDescent="0.25">
      <c r="B50" s="8" t="s">
        <v>54</v>
      </c>
      <c r="C50" s="6">
        <v>47</v>
      </c>
      <c r="D50" s="7" t="s">
        <v>131</v>
      </c>
      <c r="E50" s="41" t="s">
        <v>180</v>
      </c>
      <c r="F50" s="8" t="s">
        <v>121</v>
      </c>
      <c r="G50" s="8" t="s">
        <v>41</v>
      </c>
      <c r="H50" s="8">
        <v>12</v>
      </c>
      <c r="I50" s="8" t="s">
        <v>54</v>
      </c>
      <c r="J50" s="11" t="s">
        <v>56</v>
      </c>
      <c r="K50" s="12" t="s">
        <v>181</v>
      </c>
      <c r="L50" s="6" t="s">
        <v>121</v>
      </c>
      <c r="M50" s="6" t="s">
        <v>121</v>
      </c>
      <c r="N50" s="8"/>
      <c r="O50" s="29"/>
      <c r="P50" s="16">
        <v>0</v>
      </c>
      <c r="Q50" s="34"/>
      <c r="R50" s="16">
        <f t="shared" si="2"/>
        <v>0</v>
      </c>
      <c r="S50" s="8"/>
    </row>
    <row r="51" spans="1:19" ht="14.45" customHeight="1" x14ac:dyDescent="0.25">
      <c r="B51" s="8" t="s">
        <v>63</v>
      </c>
      <c r="C51" s="6">
        <v>48</v>
      </c>
      <c r="D51" s="7" t="s">
        <v>147</v>
      </c>
      <c r="E51" s="41" t="s">
        <v>182</v>
      </c>
      <c r="F51" s="8" t="s">
        <v>121</v>
      </c>
      <c r="G51" s="8" t="s">
        <v>41</v>
      </c>
      <c r="H51" s="8">
        <v>12</v>
      </c>
      <c r="I51" s="8" t="s">
        <v>63</v>
      </c>
      <c r="J51" s="11" t="s">
        <v>64</v>
      </c>
      <c r="K51" s="12" t="s">
        <v>183</v>
      </c>
      <c r="L51" s="6" t="s">
        <v>121</v>
      </c>
      <c r="M51" s="6" t="s">
        <v>121</v>
      </c>
      <c r="N51" s="8"/>
      <c r="O51" s="29"/>
      <c r="P51" s="16">
        <v>0</v>
      </c>
      <c r="Q51" s="34"/>
      <c r="R51" s="16">
        <f t="shared" si="2"/>
        <v>0</v>
      </c>
      <c r="S51" s="8"/>
    </row>
    <row r="52" spans="1:19" ht="14.45" customHeight="1" x14ac:dyDescent="0.25">
      <c r="B52" s="8" t="s">
        <v>70</v>
      </c>
      <c r="C52" s="6">
        <v>49</v>
      </c>
      <c r="D52" s="7" t="s">
        <v>150</v>
      </c>
      <c r="E52" s="41" t="s">
        <v>180</v>
      </c>
      <c r="F52" s="8" t="s">
        <v>121</v>
      </c>
      <c r="G52" s="8" t="s">
        <v>41</v>
      </c>
      <c r="H52" s="8">
        <v>12</v>
      </c>
      <c r="I52" s="8" t="s">
        <v>70</v>
      </c>
      <c r="J52" s="11" t="s">
        <v>71</v>
      </c>
      <c r="K52" s="12" t="s">
        <v>181</v>
      </c>
      <c r="L52" s="6" t="s">
        <v>121</v>
      </c>
      <c r="M52" s="6" t="s">
        <v>121</v>
      </c>
      <c r="N52" s="8"/>
      <c r="O52" s="29"/>
      <c r="P52" s="16">
        <v>0</v>
      </c>
      <c r="Q52" s="34"/>
      <c r="R52" s="16">
        <f t="shared" si="2"/>
        <v>0</v>
      </c>
      <c r="S52" s="8"/>
    </row>
    <row r="53" spans="1:19" ht="14.45" customHeight="1" x14ac:dyDescent="0.25">
      <c r="B53" s="8" t="s">
        <v>78</v>
      </c>
      <c r="C53" s="6">
        <v>50</v>
      </c>
      <c r="D53" s="7" t="s">
        <v>154</v>
      </c>
      <c r="E53" s="41" t="s">
        <v>182</v>
      </c>
      <c r="F53" s="8" t="s">
        <v>121</v>
      </c>
      <c r="G53" s="8" t="s">
        <v>41</v>
      </c>
      <c r="H53" s="8">
        <v>12</v>
      </c>
      <c r="I53" s="8" t="s">
        <v>78</v>
      </c>
      <c r="J53" s="11" t="s">
        <v>79</v>
      </c>
      <c r="K53" s="12" t="s">
        <v>183</v>
      </c>
      <c r="L53" s="6" t="s">
        <v>121</v>
      </c>
      <c r="M53" s="6" t="s">
        <v>121</v>
      </c>
      <c r="N53" s="8"/>
      <c r="O53" s="29"/>
      <c r="P53" s="16">
        <v>0</v>
      </c>
      <c r="Q53" s="34"/>
      <c r="R53" s="16">
        <f t="shared" si="2"/>
        <v>0</v>
      </c>
      <c r="S53" s="8"/>
    </row>
    <row r="54" spans="1:19" ht="14.45" customHeight="1" x14ac:dyDescent="0.25">
      <c r="B54" s="8" t="s">
        <v>80</v>
      </c>
      <c r="C54" s="6">
        <v>51</v>
      </c>
      <c r="D54" s="7" t="s">
        <v>130</v>
      </c>
      <c r="E54" s="41" t="s">
        <v>182</v>
      </c>
      <c r="F54" s="8" t="s">
        <v>121</v>
      </c>
      <c r="G54" s="8" t="s">
        <v>41</v>
      </c>
      <c r="H54" s="8">
        <v>12</v>
      </c>
      <c r="I54" s="8" t="s">
        <v>80</v>
      </c>
      <c r="J54" s="11" t="s">
        <v>81</v>
      </c>
      <c r="K54" s="12" t="s">
        <v>183</v>
      </c>
      <c r="L54" s="6" t="s">
        <v>121</v>
      </c>
      <c r="M54" s="6" t="s">
        <v>121</v>
      </c>
      <c r="N54" s="8"/>
      <c r="O54" s="29"/>
      <c r="P54" s="16">
        <v>0</v>
      </c>
      <c r="Q54" s="34"/>
      <c r="R54" s="16">
        <f t="shared" si="2"/>
        <v>0</v>
      </c>
      <c r="S54" s="8"/>
    </row>
    <row r="55" spans="1:19" ht="14.45" customHeight="1" x14ac:dyDescent="0.25">
      <c r="B55" s="8" t="s">
        <v>82</v>
      </c>
      <c r="C55" s="6">
        <v>52</v>
      </c>
      <c r="D55" s="7" t="s">
        <v>155</v>
      </c>
      <c r="E55" s="41" t="s">
        <v>180</v>
      </c>
      <c r="F55" s="8" t="s">
        <v>121</v>
      </c>
      <c r="G55" s="8" t="s">
        <v>41</v>
      </c>
      <c r="H55" s="8">
        <v>12</v>
      </c>
      <c r="I55" s="8" t="s">
        <v>82</v>
      </c>
      <c r="J55" s="11" t="s">
        <v>83</v>
      </c>
      <c r="K55" s="12" t="s">
        <v>181</v>
      </c>
      <c r="L55" s="6" t="s">
        <v>121</v>
      </c>
      <c r="M55" s="6" t="s">
        <v>121</v>
      </c>
      <c r="N55" s="8"/>
      <c r="O55" s="29"/>
      <c r="P55" s="16">
        <v>0</v>
      </c>
      <c r="Q55" s="34"/>
      <c r="R55" s="16">
        <f t="shared" si="2"/>
        <v>0</v>
      </c>
      <c r="S55" s="8"/>
    </row>
    <row r="56" spans="1:19" ht="14.45" customHeight="1" x14ac:dyDescent="0.25">
      <c r="B56" s="8" t="s">
        <v>84</v>
      </c>
      <c r="C56" s="6">
        <v>53</v>
      </c>
      <c r="D56" s="7" t="s">
        <v>156</v>
      </c>
      <c r="E56" s="41" t="s">
        <v>182</v>
      </c>
      <c r="F56" s="8" t="s">
        <v>121</v>
      </c>
      <c r="G56" s="8" t="s">
        <v>41</v>
      </c>
      <c r="H56" s="8">
        <v>12</v>
      </c>
      <c r="I56" s="8" t="s">
        <v>84</v>
      </c>
      <c r="J56" s="11" t="s">
        <v>85</v>
      </c>
      <c r="K56" s="12" t="s">
        <v>183</v>
      </c>
      <c r="L56" s="6" t="s">
        <v>121</v>
      </c>
      <c r="M56" s="6" t="s">
        <v>121</v>
      </c>
      <c r="N56" s="8"/>
      <c r="O56" s="29"/>
      <c r="P56" s="16">
        <v>0</v>
      </c>
      <c r="Q56" s="34"/>
      <c r="R56" s="16">
        <f t="shared" si="2"/>
        <v>0</v>
      </c>
      <c r="S56" s="8"/>
    </row>
    <row r="57" spans="1:19" ht="14.45" customHeight="1" x14ac:dyDescent="0.25">
      <c r="B57" s="8" t="s">
        <v>86</v>
      </c>
      <c r="C57" s="6">
        <v>54</v>
      </c>
      <c r="D57" s="7" t="s">
        <v>129</v>
      </c>
      <c r="E57" s="41" t="s">
        <v>184</v>
      </c>
      <c r="F57" s="8" t="s">
        <v>121</v>
      </c>
      <c r="G57" s="8" t="s">
        <v>41</v>
      </c>
      <c r="H57" s="8">
        <v>12</v>
      </c>
      <c r="I57" s="8" t="s">
        <v>86</v>
      </c>
      <c r="J57" s="11" t="s">
        <v>88</v>
      </c>
      <c r="K57" s="12" t="s">
        <v>185</v>
      </c>
      <c r="L57" s="6" t="s">
        <v>121</v>
      </c>
      <c r="M57" s="6" t="s">
        <v>121</v>
      </c>
      <c r="N57" s="8"/>
      <c r="O57" s="29"/>
      <c r="P57" s="16">
        <v>0</v>
      </c>
      <c r="Q57" s="34"/>
      <c r="R57" s="16">
        <f t="shared" si="2"/>
        <v>0</v>
      </c>
      <c r="S57" s="8"/>
    </row>
    <row r="58" spans="1:19" ht="36" x14ac:dyDescent="0.25">
      <c r="B58" s="27" t="s">
        <v>169</v>
      </c>
      <c r="C58" s="6">
        <v>55</v>
      </c>
      <c r="D58" s="7" t="s">
        <v>168</v>
      </c>
      <c r="E58" s="8" t="s">
        <v>170</v>
      </c>
      <c r="F58" s="8" t="s">
        <v>49</v>
      </c>
      <c r="G58" s="40" t="s">
        <v>41</v>
      </c>
      <c r="H58" s="39">
        <v>128</v>
      </c>
      <c r="I58" s="27" t="s">
        <v>169</v>
      </c>
      <c r="J58" s="11" t="s">
        <v>186</v>
      </c>
      <c r="K58" s="12" t="s">
        <v>171</v>
      </c>
      <c r="L58" s="13">
        <v>0.999</v>
      </c>
      <c r="M58" s="106">
        <v>0.56999999999999995</v>
      </c>
      <c r="N58" s="6"/>
      <c r="O58" s="15" t="s">
        <v>121</v>
      </c>
      <c r="P58" s="16">
        <v>674680</v>
      </c>
      <c r="Q58" s="17">
        <v>382318.67</v>
      </c>
      <c r="R58" s="16">
        <f>P58-Q58</f>
        <v>292361.33</v>
      </c>
      <c r="S58" s="18" t="s">
        <v>246</v>
      </c>
    </row>
    <row r="59" spans="1:19" x14ac:dyDescent="0.25">
      <c r="N59" s="36" t="s">
        <v>126</v>
      </c>
      <c r="O59" s="37"/>
      <c r="P59" s="111">
        <f>SUM(P4:P58)</f>
        <v>48792602.520000011</v>
      </c>
      <c r="Q59" s="112">
        <f>SUM(Q4:Q58)</f>
        <v>5993533.5799999991</v>
      </c>
      <c r="R59" s="111">
        <f>SUM(R4:R58)</f>
        <v>42799068.940000005</v>
      </c>
    </row>
    <row r="60" spans="1:19" x14ac:dyDescent="0.25">
      <c r="N60" s="36" t="s">
        <v>127</v>
      </c>
      <c r="O60" s="36"/>
      <c r="P60" s="113">
        <f>P59*19%</f>
        <v>9270594.4788000025</v>
      </c>
      <c r="Q60" s="113">
        <f>Q59*19%</f>
        <v>1138771.3801999998</v>
      </c>
      <c r="R60" s="113">
        <f>R59*19%</f>
        <v>8131823.0986000011</v>
      </c>
    </row>
    <row r="61" spans="1:19" x14ac:dyDescent="0.25">
      <c r="N61" s="36" t="s">
        <v>128</v>
      </c>
      <c r="O61" s="36"/>
      <c r="P61" s="114">
        <f>P59+P60</f>
        <v>58063196.998800009</v>
      </c>
      <c r="Q61" s="114">
        <f>Q59+Q60</f>
        <v>7132304.9601999987</v>
      </c>
      <c r="R61" s="110">
        <f>R59+R60</f>
        <v>50930892.038600005</v>
      </c>
    </row>
    <row r="62" spans="1:19" x14ac:dyDescent="0.25">
      <c r="A62" s="119" t="s">
        <v>4</v>
      </c>
      <c r="B62" s="119" t="s">
        <v>200</v>
      </c>
      <c r="C62" s="120" t="s">
        <v>9</v>
      </c>
      <c r="D62" s="120"/>
      <c r="E62" s="121" t="s">
        <v>10</v>
      </c>
      <c r="F62" s="121"/>
    </row>
    <row r="63" spans="1:19" x14ac:dyDescent="0.25">
      <c r="A63" s="119"/>
      <c r="B63" s="119"/>
      <c r="C63" s="48" t="s">
        <v>201</v>
      </c>
      <c r="D63" s="48" t="s">
        <v>202</v>
      </c>
      <c r="E63" s="49" t="s">
        <v>201</v>
      </c>
      <c r="F63" s="49" t="s">
        <v>202</v>
      </c>
    </row>
    <row r="64" spans="1:19" x14ac:dyDescent="0.25">
      <c r="A64" s="50" t="s">
        <v>203</v>
      </c>
      <c r="B64" s="51">
        <v>3</v>
      </c>
      <c r="C64" s="52">
        <v>0.996</v>
      </c>
      <c r="D64" s="53">
        <f>C64/1%*B64</f>
        <v>298.79999999999995</v>
      </c>
      <c r="E64" s="64">
        <f>AVERAGE(M40,M41,M42)</f>
        <v>0.996</v>
      </c>
      <c r="F64" s="65">
        <f>E64/1%*B64</f>
        <v>298.79999999999995</v>
      </c>
      <c r="Q64">
        <v>7132304.9601999996</v>
      </c>
      <c r="R64" s="115">
        <v>50930892.038599998</v>
      </c>
    </row>
    <row r="65" spans="1:17" x14ac:dyDescent="0.25">
      <c r="A65" s="50" t="s">
        <v>204</v>
      </c>
      <c r="B65" s="51">
        <v>8</v>
      </c>
      <c r="C65" s="54">
        <v>0.99980000000000002</v>
      </c>
      <c r="D65" s="53">
        <f t="shared" ref="D65" si="3">C65/1%*B65</f>
        <v>799.84</v>
      </c>
      <c r="E65" s="64">
        <f>AVERAGE(M4,M5,M6,M7,M8,M9,M10,M11)</f>
        <v>0.99120000000000008</v>
      </c>
      <c r="F65" s="65">
        <f>E65/1%*B65</f>
        <v>792.96</v>
      </c>
      <c r="Q65" s="107"/>
    </row>
    <row r="66" spans="1:17" x14ac:dyDescent="0.25">
      <c r="A66" s="50" t="s">
        <v>205</v>
      </c>
      <c r="B66" s="51">
        <v>29</v>
      </c>
      <c r="C66" s="55">
        <v>0.999</v>
      </c>
      <c r="D66" s="53">
        <f>C66/1%*B66</f>
        <v>2897.1</v>
      </c>
      <c r="E66" s="67">
        <f>AVERAGE(M12:M39,M58)</f>
        <v>0.94894482758620657</v>
      </c>
      <c r="F66" s="65">
        <f>E66/1%*B66</f>
        <v>2751.9399999999991</v>
      </c>
    </row>
    <row r="67" spans="1:17" x14ac:dyDescent="0.25">
      <c r="A67" s="56" t="s">
        <v>206</v>
      </c>
      <c r="B67" s="57">
        <f>SUM(B64:B66)</f>
        <v>40</v>
      </c>
      <c r="C67" s="58">
        <f>AVERAGE(C64:C66)</f>
        <v>0.99826666666666675</v>
      </c>
      <c r="D67" s="59">
        <f>SUM(D64:D66)</f>
        <v>3995.74</v>
      </c>
      <c r="E67" s="60">
        <f>AVERAGE(E64:E66)</f>
        <v>0.97871494252873559</v>
      </c>
      <c r="F67" s="61">
        <f>SUM(F64:F66)</f>
        <v>3843.6999999999989</v>
      </c>
    </row>
    <row r="70" spans="1:17" x14ac:dyDescent="0.25">
      <c r="A70" s="116" t="s">
        <v>207</v>
      </c>
      <c r="B70" s="116"/>
      <c r="C70" s="116"/>
      <c r="D70" s="48" t="s">
        <v>9</v>
      </c>
      <c r="E70" s="49" t="s">
        <v>10</v>
      </c>
    </row>
    <row r="71" spans="1:17" x14ac:dyDescent="0.25">
      <c r="A71" s="117"/>
      <c r="B71" s="117"/>
      <c r="C71" s="117"/>
      <c r="D71" s="62">
        <f>C67</f>
        <v>0.99826666666666675</v>
      </c>
      <c r="E71" s="63">
        <f>E67</f>
        <v>0.97871494252873559</v>
      </c>
    </row>
    <row r="73" spans="1:17" x14ac:dyDescent="0.25">
      <c r="H73" s="66"/>
    </row>
    <row r="74" spans="1:17" x14ac:dyDescent="0.25">
      <c r="H74" s="66"/>
    </row>
  </sheetData>
  <autoFilter ref="B3:S67"/>
  <mergeCells count="6">
    <mergeCell ref="A70:C71"/>
    <mergeCell ref="C2:S2"/>
    <mergeCell ref="A62:A63"/>
    <mergeCell ref="B62:B63"/>
    <mergeCell ref="C62:D62"/>
    <mergeCell ref="E62:F6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2"/>
  <sheetViews>
    <sheetView zoomScale="80" zoomScaleNormal="80" workbookViewId="0">
      <selection activeCell="F16" sqref="F16"/>
    </sheetView>
  </sheetViews>
  <sheetFormatPr baseColWidth="10" defaultRowHeight="15" x14ac:dyDescent="0.25"/>
  <cols>
    <col min="1" max="1" width="17.140625" bestFit="1" customWidth="1"/>
    <col min="2" max="2" width="12.140625" bestFit="1" customWidth="1"/>
    <col min="3" max="3" width="22" bestFit="1" customWidth="1"/>
    <col min="4" max="4" width="27.28515625" bestFit="1" customWidth="1"/>
    <col min="5" max="5" width="12.7109375" bestFit="1" customWidth="1"/>
    <col min="6" max="6" width="14.140625" bestFit="1" customWidth="1"/>
    <col min="9" max="9" width="27.42578125" customWidth="1"/>
    <col min="11" max="11" width="17.140625" bestFit="1" customWidth="1"/>
    <col min="22" max="22" width="14.28515625" bestFit="1" customWidth="1"/>
    <col min="23" max="23" width="18.5703125" bestFit="1" customWidth="1"/>
  </cols>
  <sheetData>
    <row r="2" spans="1:23" x14ac:dyDescent="0.25">
      <c r="A2" s="131" t="s">
        <v>0</v>
      </c>
      <c r="B2" s="137" t="s">
        <v>209</v>
      </c>
      <c r="C2" s="137" t="s">
        <v>210</v>
      </c>
      <c r="D2" s="137" t="s">
        <v>211</v>
      </c>
      <c r="E2" s="137" t="s">
        <v>12</v>
      </c>
      <c r="F2" s="131" t="s">
        <v>212</v>
      </c>
      <c r="G2" s="131" t="s">
        <v>213</v>
      </c>
      <c r="H2" s="134" t="s">
        <v>214</v>
      </c>
      <c r="I2" s="131" t="s">
        <v>215</v>
      </c>
      <c r="J2" s="131" t="s">
        <v>4</v>
      </c>
      <c r="K2" s="131" t="s">
        <v>0</v>
      </c>
      <c r="L2" s="125" t="s">
        <v>216</v>
      </c>
      <c r="M2" s="126"/>
      <c r="N2" s="126"/>
      <c r="O2" s="126"/>
      <c r="P2" s="126"/>
      <c r="Q2" s="126"/>
      <c r="R2" s="127"/>
      <c r="S2" s="125" t="s">
        <v>217</v>
      </c>
      <c r="T2" s="126"/>
      <c r="U2" s="126"/>
      <c r="V2" s="126"/>
      <c r="W2" s="127"/>
    </row>
    <row r="3" spans="1:23" x14ac:dyDescent="0.25">
      <c r="A3" s="132"/>
      <c r="B3" s="138"/>
      <c r="C3" s="138"/>
      <c r="D3" s="138"/>
      <c r="E3" s="138"/>
      <c r="F3" s="132"/>
      <c r="G3" s="132"/>
      <c r="H3" s="135"/>
      <c r="I3" s="132"/>
      <c r="J3" s="132"/>
      <c r="K3" s="132"/>
      <c r="L3" s="128" t="s">
        <v>218</v>
      </c>
      <c r="M3" s="129"/>
      <c r="N3" s="130"/>
      <c r="O3" s="128" t="s">
        <v>219</v>
      </c>
      <c r="P3" s="130"/>
      <c r="Q3" s="128" t="s">
        <v>220</v>
      </c>
      <c r="R3" s="130"/>
      <c r="S3" s="128" t="s">
        <v>219</v>
      </c>
      <c r="T3" s="129"/>
      <c r="U3" s="130"/>
      <c r="V3" s="128" t="s">
        <v>221</v>
      </c>
      <c r="W3" s="130"/>
    </row>
    <row r="4" spans="1:23" ht="63" x14ac:dyDescent="0.25">
      <c r="A4" s="133"/>
      <c r="B4" s="139"/>
      <c r="C4" s="139"/>
      <c r="D4" s="139"/>
      <c r="E4" s="139"/>
      <c r="F4" s="133"/>
      <c r="G4" s="133"/>
      <c r="H4" s="136"/>
      <c r="I4" s="133"/>
      <c r="J4" s="133"/>
      <c r="K4" s="133"/>
      <c r="L4" s="68" t="s">
        <v>222</v>
      </c>
      <c r="M4" s="68" t="s">
        <v>223</v>
      </c>
      <c r="N4" s="69" t="s">
        <v>224</v>
      </c>
      <c r="O4" s="68" t="s">
        <v>9</v>
      </c>
      <c r="P4" s="69" t="s">
        <v>225</v>
      </c>
      <c r="Q4" s="68" t="s">
        <v>226</v>
      </c>
      <c r="R4" s="69" t="s">
        <v>227</v>
      </c>
      <c r="S4" s="70" t="str">
        <f>+ UPPER("Disponibilidad")</f>
        <v>DISPONIBILIDAD</v>
      </c>
      <c r="T4" s="70" t="s">
        <v>228</v>
      </c>
      <c r="U4" s="71" t="s">
        <v>229</v>
      </c>
      <c r="V4" s="72" t="s">
        <v>230</v>
      </c>
      <c r="W4" s="73" t="s">
        <v>231</v>
      </c>
    </row>
    <row r="5" spans="1:23" ht="90" x14ac:dyDescent="0.25">
      <c r="A5" s="104" t="s">
        <v>70</v>
      </c>
      <c r="B5" s="75">
        <v>45247</v>
      </c>
      <c r="C5" s="76">
        <v>45247.458333333336</v>
      </c>
      <c r="D5" s="76">
        <v>45247.666666666664</v>
      </c>
      <c r="E5" s="77" t="s">
        <v>238</v>
      </c>
      <c r="F5" s="105" t="s">
        <v>48</v>
      </c>
      <c r="G5" s="5" t="s">
        <v>68</v>
      </c>
      <c r="H5" s="41">
        <v>17</v>
      </c>
      <c r="I5" s="79" t="s">
        <v>51</v>
      </c>
      <c r="J5" s="5" t="s">
        <v>49</v>
      </c>
      <c r="K5" s="10" t="s">
        <v>70</v>
      </c>
      <c r="L5" s="81">
        <f t="shared" ref="L5:L6" si="0">30*24</f>
        <v>720</v>
      </c>
      <c r="M5" s="81">
        <f>L5*60</f>
        <v>43200</v>
      </c>
      <c r="N5" s="82">
        <f t="shared" ref="N5:N6" si="1">(D5-C5)*24*60</f>
        <v>299.99999999301508</v>
      </c>
      <c r="O5" s="83">
        <v>0.999</v>
      </c>
      <c r="P5" s="84">
        <f>O5-N5*100%/M5</f>
        <v>0.99205555555571723</v>
      </c>
      <c r="Q5" s="85">
        <v>2</v>
      </c>
      <c r="R5" s="86">
        <v>1</v>
      </c>
      <c r="S5" s="87">
        <f t="shared" ref="S5:S6" si="2">P5</f>
        <v>0.99205555555571723</v>
      </c>
      <c r="T5" s="88">
        <v>1</v>
      </c>
      <c r="U5" s="89">
        <v>0.5</v>
      </c>
      <c r="V5" s="90">
        <v>409018.19</v>
      </c>
      <c r="W5" s="91">
        <f t="shared" ref="W5:W8" si="3">U5*V5</f>
        <v>204509.095</v>
      </c>
    </row>
    <row r="6" spans="1:23" ht="90" x14ac:dyDescent="0.25">
      <c r="A6" s="104" t="s">
        <v>54</v>
      </c>
      <c r="B6" s="75">
        <v>45257</v>
      </c>
      <c r="C6" s="76">
        <v>45257.458333333336</v>
      </c>
      <c r="D6" s="76">
        <v>45257.958333333336</v>
      </c>
      <c r="E6" s="77" t="s">
        <v>239</v>
      </c>
      <c r="F6" s="78" t="s">
        <v>48</v>
      </c>
      <c r="G6" s="5" t="s">
        <v>55</v>
      </c>
      <c r="H6" s="41">
        <v>11</v>
      </c>
      <c r="I6" s="79" t="s">
        <v>51</v>
      </c>
      <c r="J6" s="5" t="s">
        <v>49</v>
      </c>
      <c r="K6" s="10" t="s">
        <v>54</v>
      </c>
      <c r="L6" s="81">
        <f t="shared" si="0"/>
        <v>720</v>
      </c>
      <c r="M6" s="81">
        <f t="shared" ref="M6" si="4">L6*60</f>
        <v>43200</v>
      </c>
      <c r="N6" s="82">
        <f t="shared" si="1"/>
        <v>720</v>
      </c>
      <c r="O6" s="83">
        <v>0.999</v>
      </c>
      <c r="P6" s="84">
        <f t="shared" ref="P6" si="5">O6-N6*100%/M6</f>
        <v>0.98233333333333328</v>
      </c>
      <c r="Q6" s="85">
        <v>2</v>
      </c>
      <c r="R6" s="86">
        <v>1</v>
      </c>
      <c r="S6" s="87">
        <f t="shared" si="2"/>
        <v>0.98233333333333328</v>
      </c>
      <c r="T6" s="88">
        <v>1</v>
      </c>
      <c r="U6" s="89">
        <v>1</v>
      </c>
      <c r="V6" s="90">
        <v>1973473.5</v>
      </c>
      <c r="W6" s="91">
        <f t="shared" si="3"/>
        <v>1973473.5</v>
      </c>
    </row>
    <row r="7" spans="1:23" ht="90" x14ac:dyDescent="0.25">
      <c r="A7" s="74" t="s">
        <v>240</v>
      </c>
      <c r="B7" s="75">
        <v>45257</v>
      </c>
      <c r="C7" s="76">
        <v>45257.625</v>
      </c>
      <c r="D7" s="76">
        <v>45259.665277777778</v>
      </c>
      <c r="E7" s="77" t="s">
        <v>241</v>
      </c>
      <c r="F7" s="78" t="s">
        <v>29</v>
      </c>
      <c r="G7" s="5" t="s">
        <v>33</v>
      </c>
      <c r="H7" s="41">
        <v>5</v>
      </c>
      <c r="I7" s="79" t="s">
        <v>31</v>
      </c>
      <c r="J7" s="5" t="s">
        <v>18</v>
      </c>
      <c r="K7" s="10" t="s">
        <v>240</v>
      </c>
      <c r="L7" s="81">
        <f>30*24</f>
        <v>720</v>
      </c>
      <c r="M7" s="81">
        <f>L7*60</f>
        <v>43200</v>
      </c>
      <c r="N7" s="82">
        <f>(D7-C7)*24*60</f>
        <v>2938.0000000004657</v>
      </c>
      <c r="O7" s="83">
        <v>0.999</v>
      </c>
      <c r="P7" s="84">
        <f>O7-N7*100%/M7</f>
        <v>0.93099074074072996</v>
      </c>
      <c r="Q7" s="85">
        <v>2</v>
      </c>
      <c r="R7" s="86">
        <v>1</v>
      </c>
      <c r="S7" s="87">
        <f>P7</f>
        <v>0.93099074074072996</v>
      </c>
      <c r="T7" s="88">
        <v>1</v>
      </c>
      <c r="U7" s="89">
        <v>1</v>
      </c>
      <c r="V7" s="90">
        <v>1462987.12</v>
      </c>
      <c r="W7" s="91">
        <f t="shared" si="3"/>
        <v>1462987.12</v>
      </c>
    </row>
    <row r="8" spans="1:23" hidden="1" x14ac:dyDescent="0.25">
      <c r="A8" s="74"/>
      <c r="B8" s="75"/>
      <c r="C8" s="76"/>
      <c r="D8" s="76"/>
      <c r="E8" s="77"/>
      <c r="F8" s="78"/>
      <c r="G8" s="5"/>
      <c r="H8" s="41"/>
      <c r="I8" s="79"/>
      <c r="J8" s="5"/>
      <c r="K8" s="80"/>
      <c r="L8" s="81">
        <f t="shared" ref="L8:L9" si="6">30*24</f>
        <v>720</v>
      </c>
      <c r="M8" s="81">
        <f>L8*60</f>
        <v>43200</v>
      </c>
      <c r="N8" s="82">
        <f t="shared" ref="N8:N9" si="7">(D8-C8)*24*60</f>
        <v>0</v>
      </c>
      <c r="O8" s="83">
        <v>0.999</v>
      </c>
      <c r="P8" s="84">
        <f t="shared" ref="P8:P9" si="8">O8-N8*100%/M8</f>
        <v>0.999</v>
      </c>
      <c r="Q8" s="85">
        <v>2</v>
      </c>
      <c r="R8" s="86">
        <v>1</v>
      </c>
      <c r="S8" s="87">
        <f t="shared" ref="S8:S9" si="9">P8</f>
        <v>0.999</v>
      </c>
      <c r="T8" s="88">
        <v>1</v>
      </c>
      <c r="U8" s="89"/>
      <c r="V8" s="90"/>
      <c r="W8" s="91">
        <f t="shared" si="3"/>
        <v>0</v>
      </c>
    </row>
    <row r="9" spans="1:23" hidden="1" x14ac:dyDescent="0.25">
      <c r="B9" s="75"/>
      <c r="C9" s="76"/>
      <c r="D9" s="76"/>
      <c r="E9" s="77"/>
      <c r="F9" s="78"/>
      <c r="G9" s="5"/>
      <c r="H9" s="41"/>
      <c r="I9" s="79"/>
      <c r="J9" s="41"/>
      <c r="K9" s="80"/>
      <c r="L9" s="81">
        <f t="shared" si="6"/>
        <v>720</v>
      </c>
      <c r="M9" s="81">
        <f t="shared" ref="M9" si="10">L9*60</f>
        <v>43200</v>
      </c>
      <c r="N9" s="82">
        <f t="shared" si="7"/>
        <v>0</v>
      </c>
      <c r="O9" s="83">
        <v>0.996</v>
      </c>
      <c r="P9" s="84">
        <f t="shared" si="8"/>
        <v>0.996</v>
      </c>
      <c r="Q9" s="85">
        <v>2</v>
      </c>
      <c r="R9" s="86">
        <v>1</v>
      </c>
      <c r="S9" s="87">
        <f t="shared" si="9"/>
        <v>0.996</v>
      </c>
      <c r="T9" s="88">
        <v>1</v>
      </c>
      <c r="U9" s="89"/>
      <c r="V9" s="90"/>
      <c r="W9" s="91">
        <f>U9*V9</f>
        <v>0</v>
      </c>
    </row>
    <row r="10" spans="1:23" x14ac:dyDescent="0.25">
      <c r="B10" s="122" t="s">
        <v>232</v>
      </c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4"/>
      <c r="W10" s="92">
        <f>SUM(W5:W9)</f>
        <v>3640969.7150000003</v>
      </c>
    </row>
    <row r="11" spans="1:23" x14ac:dyDescent="0.25">
      <c r="B11" s="122" t="s">
        <v>127</v>
      </c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4" t="s">
        <v>127</v>
      </c>
      <c r="W11" s="92">
        <f>+W10*19%</f>
        <v>691784.24585000006</v>
      </c>
    </row>
    <row r="12" spans="1:23" x14ac:dyDescent="0.25">
      <c r="B12" s="122" t="s">
        <v>126</v>
      </c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4" t="s">
        <v>231</v>
      </c>
      <c r="W12" s="93">
        <f>+W10+W11</f>
        <v>4332753.9608500004</v>
      </c>
    </row>
  </sheetData>
  <mergeCells count="21">
    <mergeCell ref="A2:A4"/>
    <mergeCell ref="B2:B4"/>
    <mergeCell ref="C2:C4"/>
    <mergeCell ref="D2:D4"/>
    <mergeCell ref="E2:E4"/>
    <mergeCell ref="B10:V10"/>
    <mergeCell ref="B11:V11"/>
    <mergeCell ref="B12:V12"/>
    <mergeCell ref="S2:W2"/>
    <mergeCell ref="L3:N3"/>
    <mergeCell ref="O3:P3"/>
    <mergeCell ref="Q3:R3"/>
    <mergeCell ref="S3:U3"/>
    <mergeCell ref="V3:W3"/>
    <mergeCell ref="G2:G4"/>
    <mergeCell ref="H2:H4"/>
    <mergeCell ref="I2:I4"/>
    <mergeCell ref="J2:J4"/>
    <mergeCell ref="K2:K4"/>
    <mergeCell ref="L2:R2"/>
    <mergeCell ref="F2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7"/>
  <sheetViews>
    <sheetView topLeftCell="A3" workbookViewId="0">
      <selection activeCell="C3" sqref="C3"/>
    </sheetView>
  </sheetViews>
  <sheetFormatPr baseColWidth="10" defaultRowHeight="15" x14ac:dyDescent="0.25"/>
  <cols>
    <col min="2" max="2" width="39.140625" bestFit="1" customWidth="1"/>
    <col min="3" max="3" width="34.5703125" bestFit="1" customWidth="1"/>
    <col min="4" max="4" width="36.140625" bestFit="1" customWidth="1"/>
  </cols>
  <sheetData>
    <row r="2" spans="2:4" x14ac:dyDescent="0.25">
      <c r="B2" s="94" t="s">
        <v>203</v>
      </c>
      <c r="C2" s="94" t="s">
        <v>205</v>
      </c>
      <c r="D2" s="94" t="s">
        <v>204</v>
      </c>
    </row>
    <row r="3" spans="2:4" ht="409.5" x14ac:dyDescent="0.25">
      <c r="B3" s="95" t="s">
        <v>233</v>
      </c>
      <c r="C3" s="96" t="s">
        <v>234</v>
      </c>
      <c r="D3" s="97" t="s">
        <v>235</v>
      </c>
    </row>
    <row r="4" spans="2:4" x14ac:dyDescent="0.25">
      <c r="B4" s="98"/>
      <c r="D4" s="99"/>
    </row>
    <row r="5" spans="2:4" x14ac:dyDescent="0.25">
      <c r="B5" s="98"/>
      <c r="D5" s="99"/>
    </row>
    <row r="6" spans="2:4" x14ac:dyDescent="0.25">
      <c r="B6" s="100" t="s">
        <v>236</v>
      </c>
      <c r="D6" s="99"/>
    </row>
    <row r="7" spans="2:4" ht="300" x14ac:dyDescent="0.25">
      <c r="B7" s="101" t="s">
        <v>237</v>
      </c>
      <c r="C7" s="102"/>
      <c r="D7" s="10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1"/>
  <sheetViews>
    <sheetView topLeftCell="A18" workbookViewId="0">
      <selection activeCell="H38" sqref="H38"/>
    </sheetView>
  </sheetViews>
  <sheetFormatPr baseColWidth="10" defaultRowHeight="15" x14ac:dyDescent="0.25"/>
  <cols>
    <col min="4" max="4" width="18.140625" bestFit="1" customWidth="1"/>
    <col min="5" max="5" width="12.7109375" bestFit="1" customWidth="1"/>
    <col min="6" max="6" width="12.42578125" bestFit="1" customWidth="1"/>
    <col min="7" max="7" width="12.7109375" bestFit="1" customWidth="1"/>
    <col min="8" max="8" width="13" bestFit="1" customWidth="1"/>
    <col min="9" max="9" width="17.28515625" bestFit="1" customWidth="1"/>
    <col min="10" max="10" width="11.140625" bestFit="1" customWidth="1"/>
    <col min="11" max="11" width="18.28515625" bestFit="1" customWidth="1"/>
    <col min="12" max="12" width="20.7109375" bestFit="1" customWidth="1"/>
    <col min="14" max="14" width="26.5703125" bestFit="1" customWidth="1"/>
  </cols>
  <sheetData>
    <row r="2" spans="2:2" x14ac:dyDescent="0.25">
      <c r="B2" s="38"/>
    </row>
    <row r="3" spans="2:2" x14ac:dyDescent="0.25">
      <c r="B3" s="38"/>
    </row>
    <row r="4" spans="2:2" x14ac:dyDescent="0.25">
      <c r="B4" s="38"/>
    </row>
    <row r="5" spans="2:2" x14ac:dyDescent="0.25">
      <c r="B5" s="38"/>
    </row>
    <row r="6" spans="2:2" x14ac:dyDescent="0.25">
      <c r="B6" s="38"/>
    </row>
    <row r="7" spans="2:2" x14ac:dyDescent="0.25">
      <c r="B7" s="38"/>
    </row>
    <row r="8" spans="2:2" x14ac:dyDescent="0.25">
      <c r="B8" s="38"/>
    </row>
    <row r="9" spans="2:2" x14ac:dyDescent="0.25">
      <c r="B9" s="38"/>
    </row>
    <row r="10" spans="2:2" x14ac:dyDescent="0.25">
      <c r="B10" s="38"/>
    </row>
    <row r="11" spans="2:2" x14ac:dyDescent="0.25">
      <c r="B11" s="38"/>
    </row>
    <row r="12" spans="2:2" x14ac:dyDescent="0.25">
      <c r="B12" s="38"/>
    </row>
    <row r="13" spans="2:2" x14ac:dyDescent="0.25">
      <c r="B13" s="38"/>
    </row>
    <row r="14" spans="2:2" x14ac:dyDescent="0.25">
      <c r="B14" s="38"/>
    </row>
    <row r="15" spans="2:2" x14ac:dyDescent="0.25">
      <c r="B15" s="38"/>
    </row>
    <row r="16" spans="2:2" x14ac:dyDescent="0.25">
      <c r="B16" s="38"/>
    </row>
    <row r="17" spans="2:14" x14ac:dyDescent="0.25">
      <c r="B17" s="38"/>
    </row>
    <row r="18" spans="2:14" x14ac:dyDescent="0.25">
      <c r="B18" s="38"/>
    </row>
    <row r="19" spans="2:14" x14ac:dyDescent="0.25">
      <c r="B19" s="38"/>
    </row>
    <row r="20" spans="2:14" x14ac:dyDescent="0.25">
      <c r="B20" s="38"/>
    </row>
    <row r="21" spans="2:14" x14ac:dyDescent="0.25">
      <c r="B21" s="38"/>
      <c r="D21" t="s">
        <v>0</v>
      </c>
      <c r="E21" t="s">
        <v>188</v>
      </c>
      <c r="F21" t="s">
        <v>196</v>
      </c>
      <c r="G21" t="s">
        <v>189</v>
      </c>
      <c r="H21" t="s">
        <v>191</v>
      </c>
      <c r="I21" t="s">
        <v>192</v>
      </c>
      <c r="J21" t="s">
        <v>197</v>
      </c>
      <c r="K21" t="s">
        <v>193</v>
      </c>
      <c r="L21" t="s">
        <v>194</v>
      </c>
      <c r="M21" t="s">
        <v>195</v>
      </c>
      <c r="N21" t="s">
        <v>190</v>
      </c>
    </row>
    <row r="22" spans="2:14" x14ac:dyDescent="0.25">
      <c r="B22" s="38"/>
      <c r="D22" s="8" t="s">
        <v>16</v>
      </c>
      <c r="E22">
        <v>1700</v>
      </c>
      <c r="F22">
        <v>1500</v>
      </c>
      <c r="G22" s="16">
        <v>6170446.2000000002</v>
      </c>
      <c r="H22" s="46">
        <f t="shared" ref="H22:H32" si="0">G22/E22</f>
        <v>3629.6742352941178</v>
      </c>
      <c r="I22" s="46">
        <f t="shared" ref="I22:I32" si="1">H22/30</f>
        <v>120.9891411764706</v>
      </c>
      <c r="J22">
        <f>E22-F22</f>
        <v>200</v>
      </c>
      <c r="K22" s="47">
        <v>45231</v>
      </c>
      <c r="L22" s="47">
        <v>45260</v>
      </c>
      <c r="M22">
        <f t="shared" ref="M22:M32" si="2">(L22-K22)+1</f>
        <v>30</v>
      </c>
      <c r="N22" s="46">
        <f>I22*M22*J22</f>
        <v>725934.84705882357</v>
      </c>
    </row>
    <row r="23" spans="2:14" x14ac:dyDescent="0.25">
      <c r="B23" s="38"/>
      <c r="D23" s="8" t="s">
        <v>43</v>
      </c>
      <c r="E23">
        <v>148</v>
      </c>
      <c r="F23">
        <v>128</v>
      </c>
      <c r="G23" s="16">
        <v>1007566.2</v>
      </c>
      <c r="H23" s="46">
        <f t="shared" si="0"/>
        <v>6807.8797297297297</v>
      </c>
      <c r="I23" s="46">
        <f t="shared" si="1"/>
        <v>226.92932432432431</v>
      </c>
      <c r="J23">
        <f t="shared" ref="J23:J32" si="3">E23-F23</f>
        <v>20</v>
      </c>
      <c r="K23" s="47">
        <v>45231</v>
      </c>
      <c r="L23" s="47">
        <v>45260</v>
      </c>
      <c r="M23">
        <f t="shared" si="2"/>
        <v>30</v>
      </c>
      <c r="N23" s="46">
        <f t="shared" ref="N23:N32" si="4">I23*M23*J23</f>
        <v>136157.59459459459</v>
      </c>
    </row>
    <row r="24" spans="2:14" x14ac:dyDescent="0.25">
      <c r="B24" s="38"/>
      <c r="D24" s="8" t="s">
        <v>52</v>
      </c>
      <c r="E24">
        <v>76</v>
      </c>
      <c r="F24">
        <v>64</v>
      </c>
      <c r="G24" s="16">
        <v>605198.54</v>
      </c>
      <c r="H24" s="46">
        <f t="shared" si="0"/>
        <v>7963.1386842105267</v>
      </c>
      <c r="I24" s="46">
        <f t="shared" si="1"/>
        <v>265.43795614035088</v>
      </c>
      <c r="J24">
        <f t="shared" si="3"/>
        <v>12</v>
      </c>
      <c r="K24" s="47">
        <v>45231</v>
      </c>
      <c r="L24" s="47">
        <v>45260</v>
      </c>
      <c r="M24">
        <f t="shared" si="2"/>
        <v>30</v>
      </c>
      <c r="N24" s="46">
        <f t="shared" si="4"/>
        <v>95557.664210526316</v>
      </c>
    </row>
    <row r="25" spans="2:14" x14ac:dyDescent="0.25">
      <c r="B25" s="38"/>
      <c r="D25" s="44" t="s">
        <v>54</v>
      </c>
      <c r="E25" s="45">
        <v>76</v>
      </c>
      <c r="F25">
        <v>64</v>
      </c>
      <c r="G25" s="16">
        <v>1973473.5</v>
      </c>
      <c r="H25" s="46">
        <f t="shared" si="0"/>
        <v>25966.75657894737</v>
      </c>
      <c r="I25" s="46">
        <f t="shared" si="1"/>
        <v>865.558552631579</v>
      </c>
      <c r="J25">
        <f t="shared" si="3"/>
        <v>12</v>
      </c>
      <c r="K25" s="47">
        <v>45231</v>
      </c>
      <c r="L25" s="47">
        <v>45257</v>
      </c>
      <c r="M25">
        <f t="shared" si="2"/>
        <v>27</v>
      </c>
      <c r="N25" s="46">
        <f t="shared" si="4"/>
        <v>280440.97105263162</v>
      </c>
    </row>
    <row r="26" spans="2:14" x14ac:dyDescent="0.25">
      <c r="B26" s="38"/>
      <c r="D26" s="8" t="s">
        <v>63</v>
      </c>
      <c r="E26">
        <v>76</v>
      </c>
      <c r="F26">
        <v>64</v>
      </c>
      <c r="G26" s="16">
        <v>525880.53</v>
      </c>
      <c r="H26" s="46">
        <f t="shared" si="0"/>
        <v>6919.4806578947373</v>
      </c>
      <c r="I26" s="46">
        <f t="shared" si="1"/>
        <v>230.6493552631579</v>
      </c>
      <c r="J26">
        <f t="shared" si="3"/>
        <v>12</v>
      </c>
      <c r="K26" s="47">
        <v>45231</v>
      </c>
      <c r="L26" s="47">
        <v>45260</v>
      </c>
      <c r="M26">
        <f t="shared" si="2"/>
        <v>30</v>
      </c>
      <c r="N26" s="46">
        <f t="shared" si="4"/>
        <v>83033.76789473684</v>
      </c>
    </row>
    <row r="27" spans="2:14" x14ac:dyDescent="0.25">
      <c r="B27" s="38"/>
      <c r="D27" s="8" t="s">
        <v>70</v>
      </c>
      <c r="E27">
        <v>76</v>
      </c>
      <c r="F27">
        <v>64</v>
      </c>
      <c r="G27" s="16">
        <v>409018.19</v>
      </c>
      <c r="H27" s="46">
        <f t="shared" si="0"/>
        <v>5381.8182894736847</v>
      </c>
      <c r="I27" s="46">
        <f t="shared" si="1"/>
        <v>179.39394298245617</v>
      </c>
      <c r="J27">
        <f t="shared" si="3"/>
        <v>12</v>
      </c>
      <c r="K27" s="47">
        <v>45231</v>
      </c>
      <c r="L27" s="47">
        <v>45260</v>
      </c>
      <c r="M27">
        <f t="shared" si="2"/>
        <v>30</v>
      </c>
      <c r="N27" s="46">
        <f t="shared" si="4"/>
        <v>64581.819473684212</v>
      </c>
    </row>
    <row r="28" spans="2:14" x14ac:dyDescent="0.25">
      <c r="B28" s="38"/>
      <c r="D28" s="8" t="s">
        <v>78</v>
      </c>
      <c r="E28">
        <v>76</v>
      </c>
      <c r="F28">
        <v>64</v>
      </c>
      <c r="G28" s="16">
        <v>447320.66</v>
      </c>
      <c r="H28" s="46">
        <f t="shared" si="0"/>
        <v>5885.7981578947365</v>
      </c>
      <c r="I28" s="46">
        <f t="shared" si="1"/>
        <v>196.19327192982456</v>
      </c>
      <c r="J28">
        <f t="shared" si="3"/>
        <v>12</v>
      </c>
      <c r="K28" s="47">
        <v>45231</v>
      </c>
      <c r="L28" s="47">
        <v>45260</v>
      </c>
      <c r="M28">
        <f t="shared" si="2"/>
        <v>30</v>
      </c>
      <c r="N28" s="46">
        <f t="shared" si="4"/>
        <v>70629.577894736838</v>
      </c>
    </row>
    <row r="29" spans="2:14" x14ac:dyDescent="0.25">
      <c r="B29" s="38"/>
      <c r="D29" s="44" t="s">
        <v>80</v>
      </c>
      <c r="E29" s="45">
        <v>76</v>
      </c>
      <c r="F29">
        <v>64</v>
      </c>
      <c r="G29" s="16">
        <v>525880.53</v>
      </c>
      <c r="H29" s="46">
        <f t="shared" si="0"/>
        <v>6919.4806578947373</v>
      </c>
      <c r="I29" s="46">
        <f t="shared" si="1"/>
        <v>230.6493552631579</v>
      </c>
      <c r="J29">
        <f t="shared" si="3"/>
        <v>12</v>
      </c>
      <c r="K29" s="47">
        <v>45231</v>
      </c>
      <c r="L29" s="47">
        <v>45257</v>
      </c>
      <c r="M29">
        <f t="shared" si="2"/>
        <v>27</v>
      </c>
      <c r="N29" s="46">
        <f t="shared" si="4"/>
        <v>74730.391105263159</v>
      </c>
    </row>
    <row r="30" spans="2:14" x14ac:dyDescent="0.25">
      <c r="B30" s="38"/>
      <c r="D30" s="8" t="s">
        <v>82</v>
      </c>
      <c r="E30">
        <v>76</v>
      </c>
      <c r="F30">
        <v>64</v>
      </c>
      <c r="G30" s="16">
        <v>473633.64</v>
      </c>
      <c r="H30" s="46">
        <f t="shared" si="0"/>
        <v>6232.0215789473687</v>
      </c>
      <c r="I30" s="46">
        <f t="shared" si="1"/>
        <v>207.73405263157895</v>
      </c>
      <c r="J30">
        <f t="shared" si="3"/>
        <v>12</v>
      </c>
      <c r="K30" s="47">
        <v>45231</v>
      </c>
      <c r="L30" s="47">
        <v>45260</v>
      </c>
      <c r="M30">
        <f t="shared" si="2"/>
        <v>30</v>
      </c>
      <c r="N30" s="46">
        <f t="shared" si="4"/>
        <v>74784.25894736842</v>
      </c>
    </row>
    <row r="31" spans="2:14" x14ac:dyDescent="0.25">
      <c r="B31" s="38"/>
      <c r="D31" s="8" t="s">
        <v>84</v>
      </c>
      <c r="E31">
        <v>76</v>
      </c>
      <c r="F31">
        <v>64</v>
      </c>
      <c r="G31" s="16">
        <v>525880.53</v>
      </c>
      <c r="H31" s="46">
        <f t="shared" si="0"/>
        <v>6919.4806578947373</v>
      </c>
      <c r="I31" s="46">
        <f t="shared" si="1"/>
        <v>230.6493552631579</v>
      </c>
      <c r="J31">
        <f t="shared" si="3"/>
        <v>12</v>
      </c>
      <c r="K31" s="47">
        <v>45231</v>
      </c>
      <c r="L31" s="47">
        <v>45260</v>
      </c>
      <c r="M31">
        <f t="shared" si="2"/>
        <v>30</v>
      </c>
      <c r="N31" s="46">
        <f t="shared" si="4"/>
        <v>83033.76789473684</v>
      </c>
    </row>
    <row r="32" spans="2:14" x14ac:dyDescent="0.25">
      <c r="B32" s="38"/>
      <c r="D32" s="8" t="s">
        <v>86</v>
      </c>
      <c r="E32">
        <v>76</v>
      </c>
      <c r="F32">
        <v>64</v>
      </c>
      <c r="G32" s="16">
        <v>597563.55000000005</v>
      </c>
      <c r="H32" s="46">
        <f t="shared" si="0"/>
        <v>7862.6782894736853</v>
      </c>
      <c r="I32" s="46">
        <f t="shared" si="1"/>
        <v>262.0892763157895</v>
      </c>
      <c r="J32">
        <f t="shared" si="3"/>
        <v>12</v>
      </c>
      <c r="K32" s="47">
        <v>45231</v>
      </c>
      <c r="L32" s="47">
        <v>45260</v>
      </c>
      <c r="M32">
        <f t="shared" si="2"/>
        <v>30</v>
      </c>
      <c r="N32" s="46">
        <f t="shared" si="4"/>
        <v>94352.139473684219</v>
      </c>
    </row>
    <row r="33" spans="2:9" x14ac:dyDescent="0.25">
      <c r="B33" s="38"/>
    </row>
    <row r="34" spans="2:9" x14ac:dyDescent="0.25">
      <c r="B34" s="38"/>
      <c r="I34" s="47"/>
    </row>
    <row r="35" spans="2:9" x14ac:dyDescent="0.25">
      <c r="B35" s="38"/>
    </row>
    <row r="36" spans="2:9" x14ac:dyDescent="0.25">
      <c r="B36" s="38"/>
      <c r="D36" t="s">
        <v>245</v>
      </c>
      <c r="E36" s="107">
        <v>674680</v>
      </c>
      <c r="F36" s="107">
        <f>E36/30</f>
        <v>22489.333333333332</v>
      </c>
      <c r="G36" s="107">
        <f>13*F36</f>
        <v>292361.33333333331</v>
      </c>
      <c r="H36" s="108">
        <f>F36*17</f>
        <v>382318.66666666663</v>
      </c>
    </row>
    <row r="37" spans="2:9" x14ac:dyDescent="0.25">
      <c r="B37" s="38"/>
    </row>
    <row r="38" spans="2:9" x14ac:dyDescent="0.25">
      <c r="B38" s="38"/>
      <c r="H38" s="109">
        <f>(H36/E36)*100%</f>
        <v>0.56666666666666665</v>
      </c>
    </row>
    <row r="39" spans="2:9" x14ac:dyDescent="0.25">
      <c r="B39" s="38"/>
    </row>
    <row r="40" spans="2:9" x14ac:dyDescent="0.25">
      <c r="B40" s="38"/>
    </row>
    <row r="41" spans="2:9" x14ac:dyDescent="0.25">
      <c r="B41" s="38"/>
    </row>
  </sheetData>
  <sortState ref="A2:B41">
    <sortCondition ref="A2:A41"/>
  </sortState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5964d9f2-aeb6-48d9-a53d-7ab5cb1d07e8}" enabled="0" method="" siteId="{5964d9f2-aeb6-48d9-a53d-7ab5cb1d07e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DETALLE DE COSTO.NOV.2023</vt:lpstr>
      <vt:lpstr>Desc.ANS.NOV_2023</vt:lpstr>
      <vt:lpstr>Espec.ANS -AMP</vt:lpstr>
      <vt:lpstr>VALOR BW AMPLIACIONES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Leonardo Pacheco Pacheco</dc:creator>
  <cp:lastModifiedBy>Adriana Beltran Gomez</cp:lastModifiedBy>
  <dcterms:created xsi:type="dcterms:W3CDTF">2023-12-05T20:27:25Z</dcterms:created>
  <dcterms:modified xsi:type="dcterms:W3CDTF">2023-12-18T20:23:15Z</dcterms:modified>
</cp:coreProperties>
</file>